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ristozovaG\Desktop\"/>
    </mc:Choice>
  </mc:AlternateContent>
  <bookViews>
    <workbookView xWindow="0" yWindow="0" windowWidth="28800" windowHeight="12330"/>
  </bookViews>
  <sheets>
    <sheet name="Sheet1" sheetId="1" r:id="rId1"/>
  </sheets>
  <externalReferences>
    <externalReference r:id="rId2"/>
  </externalReferences>
  <definedNames>
    <definedName name="_xlnm._FilterDatabase" localSheetId="0" hidden="1">Sheet1!$A$8:$Z$115</definedName>
    <definedName name="_MailAutoSig" localSheetId="0">Sheet1!$M$31</definedName>
    <definedName name="OLE_LINK1" localSheetId="0">Sheet1!$G$31</definedName>
    <definedName name="OLE_LINK2" localSheetId="0">Sheet1!$G$31</definedName>
    <definedName name="_xlnm.Print_Area" localSheetId="0">Sheet1!$B$1:$Z$115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0" i="1"/>
  <c r="S11" i="1"/>
  <c r="S12" i="1"/>
  <c r="S9" i="1"/>
  <c r="N34" i="1" l="1"/>
  <c r="N38" i="1"/>
  <c r="Y15" i="1" l="1"/>
  <c r="N110" i="1" l="1"/>
  <c r="Y110" i="1" s="1"/>
  <c r="N50" i="1"/>
  <c r="N55" i="1"/>
  <c r="Y55" i="1" s="1"/>
  <c r="Y54" i="1"/>
  <c r="Y107" i="1" l="1"/>
  <c r="O105" i="1"/>
  <c r="N62" i="1"/>
  <c r="Y62" i="1" s="1"/>
  <c r="N68" i="1"/>
  <c r="Y68" i="1" s="1"/>
  <c r="O48" i="1"/>
  <c r="Y93" i="1" l="1"/>
  <c r="Y88" i="1" l="1"/>
  <c r="N26" i="1"/>
  <c r="Y26" i="1" s="1"/>
  <c r="C14" i="1"/>
  <c r="N72" i="1"/>
  <c r="Y72" i="1" s="1"/>
  <c r="O12" i="1"/>
  <c r="N25" i="1"/>
  <c r="Y32" i="1"/>
  <c r="Y89" i="1"/>
  <c r="Y58" i="1"/>
  <c r="N91" i="1" l="1"/>
  <c r="Y91" i="1" s="1"/>
  <c r="N65" i="1"/>
  <c r="Y65" i="1" s="1"/>
  <c r="N69" i="1"/>
  <c r="O94" i="1"/>
  <c r="N94" i="1"/>
  <c r="Y94" i="1" s="1"/>
  <c r="N96" i="1"/>
  <c r="N97" i="1"/>
  <c r="Y97" i="1" s="1"/>
  <c r="Y46" i="1"/>
  <c r="N101" i="1"/>
  <c r="O78" i="1"/>
  <c r="Y78" i="1"/>
  <c r="N83" i="1"/>
  <c r="N81" i="1"/>
  <c r="Y81" i="1" s="1"/>
  <c r="N9" i="1"/>
  <c r="Y9" i="1" s="1"/>
  <c r="N60" i="1"/>
  <c r="N112" i="1"/>
  <c r="Y112" i="1" s="1"/>
  <c r="N76" i="1"/>
  <c r="Y76" i="1" s="1"/>
  <c r="N75" i="1"/>
  <c r="N23" i="1"/>
  <c r="Y23" i="1" s="1"/>
  <c r="N44" i="1"/>
  <c r="Y44" i="1" s="1"/>
  <c r="N10" i="1"/>
  <c r="Y10" i="1" s="1"/>
  <c r="N21" i="1"/>
  <c r="Y21" i="1" s="1"/>
  <c r="N20" i="1"/>
  <c r="Y18" i="1"/>
  <c r="N18" i="1"/>
  <c r="N106" i="1"/>
  <c r="N63" i="1"/>
  <c r="Y63" i="1" s="1"/>
  <c r="N51" i="1"/>
  <c r="Y51" i="1" s="1"/>
  <c r="N48" i="1"/>
  <c r="N45" i="1"/>
  <c r="N49" i="1"/>
  <c r="N99" i="1"/>
  <c r="N29" i="1"/>
  <c r="N31" i="1"/>
  <c r="O99" i="1"/>
  <c r="N108" i="1"/>
  <c r="N19" i="1"/>
  <c r="N13" i="1" l="1"/>
  <c r="G10" i="1" l="1"/>
  <c r="P34" i="1" l="1"/>
  <c r="G32" i="1" l="1"/>
  <c r="G33" i="1"/>
  <c r="G63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O110" i="1"/>
  <c r="N41" i="1"/>
  <c r="N59" i="1" l="1"/>
  <c r="O41" i="1" l="1"/>
  <c r="N30" i="1" l="1"/>
  <c r="O82" i="1"/>
  <c r="N82" i="1"/>
  <c r="N92" i="1" l="1"/>
  <c r="Y92" i="1" s="1"/>
  <c r="O107" i="1" l="1"/>
  <c r="N37" i="1" l="1"/>
  <c r="O60" i="1" l="1"/>
  <c r="O55" i="1" l="1"/>
  <c r="N111" i="1" l="1"/>
  <c r="Y111" i="1" s="1"/>
  <c r="O111" i="1" l="1"/>
  <c r="O19" i="1" l="1"/>
  <c r="O17" i="1" l="1"/>
  <c r="N17" i="1"/>
  <c r="O13" i="1"/>
  <c r="O54" i="1" l="1"/>
  <c r="N43" i="1" l="1"/>
  <c r="N12" i="1" l="1"/>
  <c r="N11" i="1" l="1"/>
  <c r="O96" i="1" l="1"/>
  <c r="L114" i="1"/>
  <c r="H114" i="1"/>
  <c r="N79" i="1" l="1"/>
  <c r="N39" i="1"/>
  <c r="O57" i="1"/>
  <c r="N40" i="1"/>
  <c r="O11" i="1" l="1"/>
  <c r="O74" i="1" l="1"/>
  <c r="O103" i="1" l="1"/>
  <c r="N103" i="1"/>
  <c r="N35" i="1"/>
  <c r="O35" i="1"/>
  <c r="N77" i="1"/>
  <c r="Y77" i="1" s="1"/>
  <c r="N98" i="1" l="1"/>
  <c r="Y98" i="1" s="1"/>
  <c r="N73" i="1"/>
  <c r="N105" i="1"/>
  <c r="G59" i="1" l="1"/>
  <c r="N52" i="1" l="1"/>
  <c r="Y52" i="1" s="1"/>
  <c r="N27" i="1" l="1"/>
  <c r="O23" i="1"/>
  <c r="N64" i="1" l="1"/>
  <c r="N53" i="1" l="1"/>
  <c r="N84" i="1"/>
  <c r="Y84" i="1" s="1"/>
  <c r="O108" i="1"/>
  <c r="O87" i="1"/>
  <c r="N56" i="1" l="1"/>
  <c r="Y56" i="1" s="1"/>
  <c r="Y114" i="1" s="1"/>
  <c r="N16" i="1" l="1"/>
  <c r="N67" i="1"/>
  <c r="N66" i="1"/>
  <c r="O46" i="1" l="1"/>
  <c r="O109" i="1"/>
  <c r="N109" i="1"/>
  <c r="O61" i="1" l="1"/>
  <c r="N61" i="1" l="1"/>
  <c r="N113" i="1" l="1"/>
  <c r="N33" i="1" l="1"/>
  <c r="N47" i="1"/>
  <c r="N114" i="1" l="1"/>
  <c r="O51" i="1"/>
  <c r="O114" i="1"/>
  <c r="I93" i="1" l="1"/>
  <c r="P93" i="1"/>
  <c r="G93" i="1"/>
  <c r="F93" i="1"/>
  <c r="E93" i="1"/>
  <c r="D93" i="1"/>
  <c r="C93" i="1"/>
  <c r="I59" i="1"/>
  <c r="P59" i="1"/>
  <c r="F59" i="1"/>
  <c r="E59" i="1"/>
  <c r="D59" i="1"/>
  <c r="C59" i="1"/>
  <c r="I83" i="1"/>
  <c r="P83" i="1"/>
  <c r="G83" i="1"/>
  <c r="F83" i="1"/>
  <c r="E83" i="1"/>
  <c r="D83" i="1"/>
  <c r="C83" i="1"/>
  <c r="I22" i="1"/>
  <c r="P22" i="1"/>
  <c r="G22" i="1"/>
  <c r="F22" i="1"/>
  <c r="E22" i="1"/>
  <c r="D22" i="1"/>
  <c r="C22" i="1"/>
  <c r="I43" i="1"/>
  <c r="P43" i="1"/>
  <c r="G43" i="1"/>
  <c r="F43" i="1"/>
  <c r="E43" i="1"/>
  <c r="D43" i="1"/>
  <c r="C43" i="1"/>
  <c r="I102" i="1"/>
  <c r="P102" i="1"/>
  <c r="G102" i="1"/>
  <c r="F102" i="1"/>
  <c r="E102" i="1"/>
  <c r="D102" i="1"/>
  <c r="C102" i="1"/>
  <c r="I32" i="1"/>
  <c r="P32" i="1"/>
  <c r="F32" i="1"/>
  <c r="E32" i="1"/>
  <c r="D32" i="1"/>
  <c r="C32" i="1"/>
  <c r="I17" i="1"/>
  <c r="P17" i="1"/>
  <c r="G17" i="1"/>
  <c r="F17" i="1"/>
  <c r="E17" i="1"/>
  <c r="D17" i="1"/>
  <c r="C17" i="1"/>
  <c r="I113" i="1"/>
  <c r="P113" i="1"/>
  <c r="G113" i="1"/>
  <c r="F113" i="1"/>
  <c r="E113" i="1"/>
  <c r="D113" i="1"/>
  <c r="C113" i="1"/>
  <c r="I112" i="1"/>
  <c r="P112" i="1"/>
  <c r="G112" i="1"/>
  <c r="F112" i="1"/>
  <c r="E112" i="1"/>
  <c r="D112" i="1"/>
  <c r="C112" i="1"/>
  <c r="I71" i="1"/>
  <c r="P71" i="1"/>
  <c r="G71" i="1"/>
  <c r="F71" i="1"/>
  <c r="E71" i="1"/>
  <c r="D71" i="1"/>
  <c r="C71" i="1"/>
  <c r="I82" i="1"/>
  <c r="P82" i="1"/>
  <c r="G82" i="1"/>
  <c r="F82" i="1"/>
  <c r="E82" i="1"/>
  <c r="D82" i="1"/>
  <c r="C82" i="1"/>
  <c r="I111" i="1"/>
  <c r="P111" i="1"/>
  <c r="G111" i="1"/>
  <c r="F111" i="1"/>
  <c r="E111" i="1"/>
  <c r="D111" i="1"/>
  <c r="C111" i="1"/>
  <c r="I81" i="1"/>
  <c r="P81" i="1"/>
  <c r="G81" i="1"/>
  <c r="F81" i="1"/>
  <c r="E81" i="1"/>
  <c r="D81" i="1"/>
  <c r="C81" i="1"/>
  <c r="I37" i="1"/>
  <c r="P37" i="1"/>
  <c r="G37" i="1"/>
  <c r="F37" i="1"/>
  <c r="E37" i="1"/>
  <c r="D37" i="1"/>
  <c r="C37" i="1"/>
  <c r="I89" i="1"/>
  <c r="P89" i="1"/>
  <c r="G89" i="1"/>
  <c r="F89" i="1"/>
  <c r="E89" i="1"/>
  <c r="D89" i="1"/>
  <c r="C89" i="1"/>
  <c r="I16" i="1"/>
  <c r="P16" i="1"/>
  <c r="G16" i="1"/>
  <c r="F16" i="1"/>
  <c r="E16" i="1"/>
  <c r="D16" i="1"/>
  <c r="C16" i="1"/>
  <c r="I42" i="1"/>
  <c r="P42" i="1"/>
  <c r="G42" i="1"/>
  <c r="F42" i="1"/>
  <c r="E42" i="1"/>
  <c r="D42" i="1"/>
  <c r="C42" i="1"/>
  <c r="I101" i="1"/>
  <c r="P101" i="1"/>
  <c r="G101" i="1"/>
  <c r="F101" i="1"/>
  <c r="E101" i="1"/>
  <c r="D101" i="1"/>
  <c r="C101" i="1"/>
  <c r="I36" i="1"/>
  <c r="G36" i="1"/>
  <c r="F36" i="1"/>
  <c r="E36" i="1"/>
  <c r="D36" i="1"/>
  <c r="C36" i="1"/>
  <c r="I110" i="1"/>
  <c r="P110" i="1"/>
  <c r="G110" i="1"/>
  <c r="F110" i="1"/>
  <c r="E110" i="1"/>
  <c r="D110" i="1"/>
  <c r="C110" i="1"/>
  <c r="I104" i="1"/>
  <c r="P104" i="1"/>
  <c r="G104" i="1"/>
  <c r="F104" i="1"/>
  <c r="E104" i="1"/>
  <c r="D104" i="1"/>
  <c r="C104" i="1"/>
  <c r="I100" i="1"/>
  <c r="P100" i="1"/>
  <c r="G100" i="1"/>
  <c r="F100" i="1"/>
  <c r="E100" i="1"/>
  <c r="D100" i="1"/>
  <c r="C100" i="1"/>
  <c r="I88" i="1"/>
  <c r="P88" i="1"/>
  <c r="G88" i="1"/>
  <c r="F88" i="1"/>
  <c r="E88" i="1"/>
  <c r="D88" i="1"/>
  <c r="C88" i="1"/>
  <c r="I109" i="1"/>
  <c r="P109" i="1"/>
  <c r="G109" i="1"/>
  <c r="F109" i="1"/>
  <c r="E109" i="1"/>
  <c r="D109" i="1"/>
  <c r="C109" i="1"/>
  <c r="I99" i="1"/>
  <c r="P99" i="1"/>
  <c r="G99" i="1"/>
  <c r="F99" i="1"/>
  <c r="E99" i="1"/>
  <c r="D99" i="1"/>
  <c r="C99" i="1"/>
  <c r="I15" i="1"/>
  <c r="P15" i="1"/>
  <c r="G15" i="1"/>
  <c r="F15" i="1"/>
  <c r="E15" i="1"/>
  <c r="D15" i="1"/>
  <c r="C15" i="1"/>
  <c r="I41" i="1"/>
  <c r="P41" i="1"/>
  <c r="G41" i="1"/>
  <c r="F41" i="1"/>
  <c r="E41" i="1"/>
  <c r="D41" i="1"/>
  <c r="C41" i="1"/>
  <c r="I14" i="1"/>
  <c r="P14" i="1"/>
  <c r="G14" i="1"/>
  <c r="F14" i="1"/>
  <c r="E14" i="1"/>
  <c r="D14" i="1"/>
  <c r="I92" i="1"/>
  <c r="P92" i="1"/>
  <c r="G92" i="1"/>
  <c r="F92" i="1"/>
  <c r="E92" i="1"/>
  <c r="D92" i="1"/>
  <c r="C92" i="1"/>
  <c r="I26" i="1"/>
  <c r="P26" i="1"/>
  <c r="G26" i="1"/>
  <c r="F26" i="1"/>
  <c r="E26" i="1"/>
  <c r="D26" i="1"/>
  <c r="C26" i="1"/>
  <c r="I25" i="1"/>
  <c r="P25" i="1"/>
  <c r="G25" i="1"/>
  <c r="F25" i="1"/>
  <c r="E25" i="1"/>
  <c r="D25" i="1"/>
  <c r="C25" i="1"/>
  <c r="I51" i="1"/>
  <c r="P51" i="1"/>
  <c r="G51" i="1"/>
  <c r="F51" i="1"/>
  <c r="E51" i="1"/>
  <c r="D51" i="1"/>
  <c r="C51" i="1"/>
  <c r="I50" i="1"/>
  <c r="P50" i="1"/>
  <c r="G50" i="1"/>
  <c r="F50" i="1"/>
  <c r="E50" i="1"/>
  <c r="D50" i="1"/>
  <c r="C50" i="1"/>
  <c r="I24" i="1"/>
  <c r="P24" i="1"/>
  <c r="G24" i="1"/>
  <c r="F24" i="1"/>
  <c r="E24" i="1"/>
  <c r="D24" i="1"/>
  <c r="C24" i="1"/>
  <c r="I87" i="1"/>
  <c r="P87" i="1"/>
  <c r="G87" i="1"/>
  <c r="F87" i="1"/>
  <c r="E87" i="1"/>
  <c r="D87" i="1"/>
  <c r="C87" i="1"/>
  <c r="I70" i="1"/>
  <c r="P70" i="1"/>
  <c r="G70" i="1"/>
  <c r="F70" i="1"/>
  <c r="E70" i="1"/>
  <c r="D70" i="1"/>
  <c r="C70" i="1"/>
  <c r="I65" i="1"/>
  <c r="P65" i="1"/>
  <c r="F65" i="1"/>
  <c r="E65" i="1"/>
  <c r="D65" i="1"/>
  <c r="C65" i="1"/>
  <c r="I106" i="1"/>
  <c r="P106" i="1"/>
  <c r="G106" i="1"/>
  <c r="F106" i="1"/>
  <c r="E106" i="1"/>
  <c r="D106" i="1"/>
  <c r="C106" i="1"/>
  <c r="I35" i="1"/>
  <c r="P35" i="1"/>
  <c r="G35" i="1"/>
  <c r="F35" i="1"/>
  <c r="E35" i="1"/>
  <c r="D35" i="1"/>
  <c r="C35" i="1"/>
  <c r="I73" i="1"/>
  <c r="P73" i="1"/>
  <c r="G73" i="1"/>
  <c r="F73" i="1"/>
  <c r="E73" i="1"/>
  <c r="D73" i="1"/>
  <c r="C73" i="1"/>
  <c r="I64" i="1"/>
  <c r="P64" i="1"/>
  <c r="G64" i="1"/>
  <c r="F64" i="1"/>
  <c r="E64" i="1"/>
  <c r="D64" i="1"/>
  <c r="C64" i="1"/>
  <c r="I49" i="1"/>
  <c r="P49" i="1"/>
  <c r="G49" i="1"/>
  <c r="F49" i="1"/>
  <c r="E49" i="1"/>
  <c r="D49" i="1"/>
  <c r="C49" i="1"/>
  <c r="I69" i="1"/>
  <c r="P69" i="1"/>
  <c r="G69" i="1"/>
  <c r="F69" i="1"/>
  <c r="E69" i="1"/>
  <c r="D69" i="1"/>
  <c r="C69" i="1"/>
  <c r="I68" i="1"/>
  <c r="P68" i="1"/>
  <c r="G68" i="1"/>
  <c r="F68" i="1"/>
  <c r="E68" i="1"/>
  <c r="D68" i="1"/>
  <c r="C68" i="1"/>
  <c r="I58" i="1"/>
  <c r="P58" i="1"/>
  <c r="G58" i="1"/>
  <c r="F58" i="1"/>
  <c r="E58" i="1"/>
  <c r="D58" i="1"/>
  <c r="C58" i="1"/>
  <c r="I13" i="1"/>
  <c r="P13" i="1"/>
  <c r="G13" i="1"/>
  <c r="F13" i="1"/>
  <c r="E13" i="1"/>
  <c r="D13" i="1"/>
  <c r="C13" i="1"/>
  <c r="I72" i="1"/>
  <c r="P72" i="1"/>
  <c r="G72" i="1"/>
  <c r="F72" i="1"/>
  <c r="E72" i="1"/>
  <c r="D72" i="1"/>
  <c r="C72" i="1"/>
  <c r="I86" i="1"/>
  <c r="P86" i="1"/>
  <c r="G86" i="1"/>
  <c r="F86" i="1"/>
  <c r="E86" i="1"/>
  <c r="D86" i="1"/>
  <c r="C86" i="1"/>
  <c r="I108" i="1"/>
  <c r="P108" i="1"/>
  <c r="G108" i="1"/>
  <c r="F108" i="1"/>
  <c r="E108" i="1"/>
  <c r="D108" i="1"/>
  <c r="C108" i="1"/>
  <c r="I57" i="1"/>
  <c r="P57" i="1"/>
  <c r="G57" i="1"/>
  <c r="F57" i="1"/>
  <c r="E57" i="1"/>
  <c r="D57" i="1"/>
  <c r="C57" i="1"/>
  <c r="I80" i="1"/>
  <c r="P80" i="1"/>
  <c r="G80" i="1"/>
  <c r="F80" i="1"/>
  <c r="E80" i="1"/>
  <c r="D80" i="1"/>
  <c r="C80" i="1"/>
  <c r="I79" i="1"/>
  <c r="P79" i="1"/>
  <c r="G79" i="1"/>
  <c r="F79" i="1"/>
  <c r="E79" i="1"/>
  <c r="D79" i="1"/>
  <c r="C79" i="1"/>
  <c r="I98" i="1"/>
  <c r="P98" i="1"/>
  <c r="G98" i="1"/>
  <c r="F98" i="1"/>
  <c r="E98" i="1"/>
  <c r="D98" i="1"/>
  <c r="C98" i="1"/>
  <c r="I77" i="1"/>
  <c r="P77" i="1"/>
  <c r="G77" i="1"/>
  <c r="F77" i="1"/>
  <c r="E77" i="1"/>
  <c r="D77" i="1"/>
  <c r="C77" i="1"/>
  <c r="I105" i="1"/>
  <c r="P105" i="1"/>
  <c r="G105" i="1"/>
  <c r="F105" i="1"/>
  <c r="E105" i="1"/>
  <c r="D105" i="1"/>
  <c r="C105" i="1"/>
  <c r="I21" i="1"/>
  <c r="P21" i="1"/>
  <c r="G21" i="1"/>
  <c r="F21" i="1"/>
  <c r="E21" i="1"/>
  <c r="D21" i="1"/>
  <c r="C21" i="1"/>
  <c r="I48" i="1"/>
  <c r="P48" i="1"/>
  <c r="G48" i="1"/>
  <c r="F48" i="1"/>
  <c r="E48" i="1"/>
  <c r="D48" i="1"/>
  <c r="C48" i="1"/>
  <c r="I61" i="1"/>
  <c r="P61" i="1"/>
  <c r="G61" i="1"/>
  <c r="F61" i="1"/>
  <c r="E61" i="1"/>
  <c r="D61" i="1"/>
  <c r="C61" i="1"/>
  <c r="I76" i="1"/>
  <c r="P76" i="1"/>
  <c r="G76" i="1"/>
  <c r="F76" i="1"/>
  <c r="E76" i="1"/>
  <c r="D76" i="1"/>
  <c r="C76" i="1"/>
  <c r="I31" i="1"/>
  <c r="P31" i="1"/>
  <c r="F31" i="1"/>
  <c r="E31" i="1"/>
  <c r="D31" i="1"/>
  <c r="C31" i="1"/>
  <c r="I12" i="1"/>
  <c r="P12" i="1"/>
  <c r="G12" i="1"/>
  <c r="F12" i="1"/>
  <c r="E12" i="1"/>
  <c r="D12" i="1"/>
  <c r="C12" i="1"/>
  <c r="I11" i="1"/>
  <c r="P11" i="1"/>
  <c r="G11" i="1"/>
  <c r="F11" i="1"/>
  <c r="E11" i="1"/>
  <c r="D11" i="1"/>
  <c r="C11" i="1"/>
  <c r="I30" i="1"/>
  <c r="P30" i="1"/>
  <c r="G30" i="1"/>
  <c r="F30" i="1"/>
  <c r="E30" i="1"/>
  <c r="D30" i="1"/>
  <c r="C30" i="1"/>
  <c r="I10" i="1"/>
  <c r="P10" i="1"/>
  <c r="F10" i="1"/>
  <c r="E10" i="1"/>
  <c r="D10" i="1"/>
  <c r="C10" i="1"/>
  <c r="I28" i="1"/>
  <c r="P28" i="1"/>
  <c r="G28" i="1"/>
  <c r="F28" i="1"/>
  <c r="E28" i="1"/>
  <c r="D28" i="1"/>
  <c r="C28" i="1"/>
  <c r="I63" i="1"/>
  <c r="P63" i="1"/>
  <c r="F63" i="1"/>
  <c r="E63" i="1"/>
  <c r="D63" i="1"/>
  <c r="C63" i="1"/>
  <c r="I60" i="1"/>
  <c r="P60" i="1"/>
  <c r="G60" i="1"/>
  <c r="F60" i="1"/>
  <c r="E60" i="1"/>
  <c r="D60" i="1"/>
  <c r="C60" i="1"/>
  <c r="I107" i="1"/>
  <c r="P107" i="1"/>
  <c r="G107" i="1"/>
  <c r="F107" i="1"/>
  <c r="E107" i="1"/>
  <c r="D107" i="1"/>
  <c r="C107" i="1"/>
  <c r="I23" i="1"/>
  <c r="G23" i="1"/>
  <c r="F23" i="1"/>
  <c r="E23" i="1"/>
  <c r="D23" i="1"/>
  <c r="C23" i="1"/>
  <c r="I47" i="1"/>
  <c r="P47" i="1"/>
  <c r="G47" i="1"/>
  <c r="F47" i="1"/>
  <c r="E47" i="1"/>
  <c r="D47" i="1"/>
  <c r="C47" i="1"/>
  <c r="I85" i="1"/>
  <c r="P85" i="1"/>
  <c r="G85" i="1"/>
  <c r="F85" i="1"/>
  <c r="E85" i="1"/>
  <c r="D85" i="1"/>
  <c r="C85" i="1"/>
  <c r="I96" i="1"/>
  <c r="P96" i="1"/>
  <c r="G96" i="1"/>
  <c r="F96" i="1"/>
  <c r="E96" i="1"/>
  <c r="D96" i="1"/>
  <c r="C96" i="1"/>
  <c r="I46" i="1"/>
  <c r="P46" i="1"/>
  <c r="G46" i="1"/>
  <c r="F46" i="1"/>
  <c r="E46" i="1"/>
  <c r="D46" i="1"/>
  <c r="C46" i="1"/>
  <c r="I40" i="1"/>
  <c r="P40" i="1"/>
  <c r="G40" i="1"/>
  <c r="F40" i="1"/>
  <c r="E40" i="1"/>
  <c r="D40" i="1"/>
  <c r="C40" i="1"/>
  <c r="I75" i="1"/>
  <c r="P75" i="1"/>
  <c r="G75" i="1"/>
  <c r="F75" i="1"/>
  <c r="E75" i="1"/>
  <c r="D75" i="1"/>
  <c r="C75" i="1"/>
  <c r="I74" i="1"/>
  <c r="P74" i="1"/>
  <c r="G74" i="1"/>
  <c r="F74" i="1"/>
  <c r="E74" i="1"/>
  <c r="D74" i="1"/>
  <c r="C74" i="1"/>
  <c r="I20" i="1"/>
  <c r="P20" i="1"/>
  <c r="G20" i="1"/>
  <c r="F20" i="1"/>
  <c r="E20" i="1"/>
  <c r="D20" i="1"/>
  <c r="C20" i="1"/>
  <c r="I19" i="1"/>
  <c r="P19" i="1"/>
  <c r="G19" i="1"/>
  <c r="F19" i="1"/>
  <c r="E19" i="1"/>
  <c r="D19" i="1"/>
  <c r="C19" i="1"/>
  <c r="I39" i="1"/>
  <c r="P39" i="1"/>
  <c r="G39" i="1"/>
  <c r="F39" i="1"/>
  <c r="E39" i="1"/>
  <c r="D39" i="1"/>
  <c r="C39" i="1"/>
  <c r="I62" i="1"/>
  <c r="P62" i="1"/>
  <c r="G62" i="1"/>
  <c r="F62" i="1"/>
  <c r="E62" i="1"/>
  <c r="D62" i="1"/>
  <c r="C62" i="1"/>
  <c r="I34" i="1"/>
  <c r="G34" i="1"/>
  <c r="F34" i="1"/>
  <c r="E34" i="1"/>
  <c r="D34" i="1"/>
  <c r="C34" i="1"/>
  <c r="I91" i="1"/>
  <c r="P91" i="1"/>
  <c r="G91" i="1"/>
  <c r="F91" i="1"/>
  <c r="E91" i="1"/>
  <c r="D91" i="1"/>
  <c r="C91" i="1"/>
  <c r="I56" i="1"/>
  <c r="P56" i="1"/>
  <c r="G56" i="1"/>
  <c r="F56" i="1"/>
  <c r="E56" i="1"/>
  <c r="D56" i="1"/>
  <c r="C56" i="1"/>
  <c r="I103" i="1"/>
  <c r="P103" i="1"/>
  <c r="G103" i="1"/>
  <c r="F103" i="1"/>
  <c r="E103" i="1"/>
  <c r="D103" i="1"/>
  <c r="C103" i="1"/>
  <c r="I55" i="1"/>
  <c r="P55" i="1"/>
  <c r="G55" i="1"/>
  <c r="F55" i="1"/>
  <c r="E55" i="1"/>
  <c r="D55" i="1"/>
  <c r="C55" i="1"/>
  <c r="I29" i="1"/>
  <c r="P29" i="1"/>
  <c r="G29" i="1"/>
  <c r="F29" i="1"/>
  <c r="E29" i="1"/>
  <c r="D29" i="1"/>
  <c r="C29" i="1"/>
  <c r="I95" i="1"/>
  <c r="P95" i="1"/>
  <c r="G95" i="1"/>
  <c r="F95" i="1"/>
  <c r="D95" i="1"/>
  <c r="C95" i="1"/>
  <c r="I54" i="1"/>
  <c r="P54" i="1"/>
  <c r="G54" i="1"/>
  <c r="F54" i="1"/>
  <c r="E54" i="1"/>
  <c r="D54" i="1"/>
  <c r="C54" i="1"/>
  <c r="I84" i="1"/>
  <c r="P84" i="1"/>
  <c r="G84" i="1"/>
  <c r="F84" i="1"/>
  <c r="E84" i="1"/>
  <c r="D84" i="1"/>
  <c r="C84" i="1"/>
  <c r="I67" i="1"/>
  <c r="P67" i="1"/>
  <c r="G67" i="1"/>
  <c r="F67" i="1"/>
  <c r="E67" i="1"/>
  <c r="D67" i="1"/>
  <c r="C67" i="1"/>
  <c r="I94" i="1"/>
  <c r="P94" i="1"/>
  <c r="G94" i="1"/>
  <c r="F94" i="1"/>
  <c r="E94" i="1"/>
  <c r="D94" i="1"/>
  <c r="C94" i="1"/>
  <c r="I53" i="1"/>
  <c r="P53" i="1"/>
  <c r="G53" i="1"/>
  <c r="F53" i="1"/>
  <c r="E53" i="1"/>
  <c r="D53" i="1"/>
  <c r="C53" i="1"/>
  <c r="I45" i="1"/>
  <c r="P45" i="1"/>
  <c r="G45" i="1"/>
  <c r="F45" i="1"/>
  <c r="E45" i="1"/>
  <c r="D45" i="1"/>
  <c r="C45" i="1"/>
  <c r="I66" i="1"/>
  <c r="P66" i="1"/>
  <c r="G66" i="1"/>
  <c r="F66" i="1"/>
  <c r="E66" i="1"/>
  <c r="D66" i="1"/>
  <c r="C66" i="1"/>
  <c r="I38" i="1"/>
  <c r="P38" i="1"/>
  <c r="G38" i="1"/>
  <c r="F38" i="1"/>
  <c r="E38" i="1"/>
  <c r="D38" i="1"/>
  <c r="C38" i="1"/>
  <c r="I52" i="1"/>
  <c r="P52" i="1"/>
  <c r="G52" i="1"/>
  <c r="F52" i="1"/>
  <c r="E52" i="1"/>
  <c r="D52" i="1"/>
  <c r="C52" i="1"/>
  <c r="I27" i="1"/>
  <c r="P27" i="1"/>
  <c r="G27" i="1"/>
  <c r="F27" i="1"/>
  <c r="E27" i="1"/>
  <c r="D27" i="1"/>
  <c r="C27" i="1"/>
  <c r="I90" i="1"/>
  <c r="P90" i="1"/>
  <c r="G90" i="1"/>
  <c r="F90" i="1"/>
  <c r="E90" i="1"/>
  <c r="D90" i="1"/>
  <c r="C90" i="1"/>
  <c r="I33" i="1"/>
  <c r="P33" i="1"/>
  <c r="F33" i="1"/>
  <c r="E33" i="1"/>
  <c r="D33" i="1"/>
  <c r="C33" i="1"/>
  <c r="I97" i="1"/>
  <c r="P97" i="1"/>
  <c r="G97" i="1"/>
  <c r="F97" i="1"/>
  <c r="E97" i="1"/>
  <c r="D97" i="1"/>
  <c r="C97" i="1"/>
  <c r="I18" i="1"/>
  <c r="P18" i="1"/>
  <c r="G18" i="1"/>
  <c r="F18" i="1"/>
  <c r="E18" i="1"/>
  <c r="D18" i="1"/>
  <c r="C18" i="1"/>
  <c r="I9" i="1"/>
  <c r="P9" i="1"/>
  <c r="G9" i="1"/>
  <c r="F9" i="1"/>
  <c r="E9" i="1"/>
  <c r="D9" i="1"/>
  <c r="C9" i="1"/>
  <c r="I78" i="1"/>
  <c r="P78" i="1"/>
  <c r="G78" i="1"/>
  <c r="F78" i="1"/>
  <c r="E78" i="1"/>
  <c r="D78" i="1"/>
  <c r="C78" i="1"/>
  <c r="I44" i="1"/>
  <c r="P44" i="1"/>
  <c r="G44" i="1"/>
  <c r="F44" i="1"/>
  <c r="E44" i="1"/>
  <c r="D44" i="1"/>
  <c r="C44" i="1"/>
  <c r="P23" i="1" l="1"/>
</calcChain>
</file>

<file path=xl/sharedStrings.xml><?xml version="1.0" encoding="utf-8"?>
<sst xmlns="http://schemas.openxmlformats.org/spreadsheetml/2006/main" count="1241" uniqueCount="546">
  <si>
    <t>КОД</t>
  </si>
  <si>
    <t xml:space="preserve">Общини </t>
  </si>
  <si>
    <t>Области</t>
  </si>
  <si>
    <t>Общински обекти</t>
  </si>
  <si>
    <t>Вид</t>
  </si>
  <si>
    <t>e-mail</t>
  </si>
  <si>
    <t xml:space="preserve">obanton@antonbg.com </t>
  </si>
  <si>
    <t>info@obshtina-apriltsi.com</t>
  </si>
  <si>
    <t xml:space="preserve">obshtina@asenovgrad.bg </t>
  </si>
  <si>
    <t xml:space="preserve">mayor@balchik.bg </t>
  </si>
  <si>
    <t>kmet@belovo.bg</t>
  </si>
  <si>
    <t>kmet@belogradchik.egov.bg</t>
  </si>
  <si>
    <t>blg@blagoevgrad.bg</t>
  </si>
  <si>
    <t>obshtina@bobovdol.egov.bg</t>
  </si>
  <si>
    <t xml:space="preserve">kmet@boychinovtsi.bg </t>
  </si>
  <si>
    <t>obshtina@borino.egov.bg </t>
  </si>
  <si>
    <t>ob.borovan@borovan.egov.bg</t>
  </si>
  <si>
    <t>obshtina@botevgrad.org</t>
  </si>
  <si>
    <t>obshtina@brusartsi.egov.bg</t>
  </si>
  <si>
    <t>mayor@byala.org</t>
  </si>
  <si>
    <t>bslatina@oabsl.bg</t>
  </si>
  <si>
    <t>mayorvt@vt.bia-bg.com</t>
  </si>
  <si>
    <t>kmet@valchedram.bg</t>
  </si>
  <si>
    <t>oba@valchidol.bg</t>
  </si>
  <si>
    <t>obshtina@varbitsa.org</t>
  </si>
  <si>
    <t>kmet_varshets@abv.bg</t>
  </si>
  <si>
    <t xml:space="preserve">gabrovo@gabrovo.bg </t>
  </si>
  <si>
    <t>gd3470@mail.bg</t>
  </si>
  <si>
    <t>oba@gocenet.net</t>
  </si>
  <si>
    <t>obstina_gramada@abv.bg</t>
  </si>
  <si>
    <t> gurkovo_obs@abv.bg</t>
  </si>
  <si>
    <t>obshtina@devin.bg</t>
  </si>
  <si>
    <t xml:space="preserve">dobrich@dobrich.bg </t>
  </si>
  <si>
    <t xml:space="preserve">obshtina@dobrichka.bg </t>
  </si>
  <si>
    <t>kmet@dolnamitropolia.egov.bg</t>
  </si>
  <si>
    <t>dolnidabnik@dolnidabnik.egov.bg</t>
  </si>
  <si>
    <t>Obshtina.Dospat@dospat.egov.bg </t>
  </si>
  <si>
    <t>obshtina_dragoman@abv.bg</t>
  </si>
  <si>
    <t>obshtina@dalgopol.org</t>
  </si>
  <si>
    <t>obshtina@elena.bg</t>
  </si>
  <si>
    <t>obstina@etropolebg.com</t>
  </si>
  <si>
    <t>obshtina_zemen@abv.bg</t>
  </si>
  <si>
    <t>obshtina@ivaylovgrad.bg</t>
  </si>
  <si>
    <t> obshtina_ihtiman@mail.bg</t>
  </si>
  <si>
    <t xml:space="preserve">mayor@kazanlak.bg </t>
  </si>
  <si>
    <t>mun-kaynardzha@obmen.bg</t>
  </si>
  <si>
    <t xml:space="preserve">kaloianovo@mail-bg.com </t>
  </si>
  <si>
    <t>info@kaolinovo.bg</t>
  </si>
  <si>
    <t xml:space="preserve">obshtina@karlovo.bg </t>
  </si>
  <si>
    <t>obshtina@kaspichan.org</t>
  </si>
  <si>
    <t>obstina_kneja@abv.bg</t>
  </si>
  <si>
    <t>info@koprivshtitsa-bg.com</t>
  </si>
  <si>
    <t>kostenetz_adm@kostenetz.com</t>
  </si>
  <si>
    <t>krushari@krushari.bg </t>
  </si>
  <si>
    <t>obshtinakardzhali@kardjali.bg</t>
  </si>
  <si>
    <t>obshtina@oblevski.egov.bg</t>
  </si>
  <si>
    <t>ObA_Lesi4ovo@hotmail.com</t>
  </si>
  <si>
    <t>letnitsa@mail.bg</t>
  </si>
  <si>
    <t>obshtina@lovech.bg</t>
  </si>
  <si>
    <t>obshtina.lom@mail.bg</t>
  </si>
  <si>
    <t>oba@lyubimets.bg</t>
  </si>
  <si>
    <t>obshtina@lyaskovets.bg</t>
  </si>
  <si>
    <t>mt_kmet@mail.bg</t>
  </si>
  <si>
    <t xml:space="preserve">obshtina@maritsa.bg  </t>
  </si>
  <si>
    <t>medkovec@mail.bg</t>
  </si>
  <si>
    <t>obshtina@mezdra.egov.bg</t>
  </si>
  <si>
    <t>mizia@mizia.egov.bg</t>
  </si>
  <si>
    <t>info@mirkovo.bg</t>
  </si>
  <si>
    <t>ob_maglizh@mail.bg</t>
  </si>
  <si>
    <t>contacts@nesebar.bg</t>
  </si>
  <si>
    <t>obshtina@nova-zagora.org</t>
  </si>
  <si>
    <t>obshtina_omurtag@abv.bg</t>
  </si>
  <si>
    <t>opan@mail.bg</t>
  </si>
  <si>
    <t>mail@oriahovo.bg</t>
  </si>
  <si>
    <t>obshtina@pavlikeni.bg</t>
  </si>
  <si>
    <t xml:space="preserve">obshtina@pernik.bg </t>
  </si>
  <si>
    <t>obstina@pirdop.bg</t>
  </si>
  <si>
    <t>obshtina@pravets.bg</t>
  </si>
  <si>
    <t xml:space="preserve">obshtinaradomir@abv.bg </t>
  </si>
  <si>
    <t>obshtina@razgrad.bg</t>
  </si>
  <si>
    <t>kmet@razlog.bg</t>
  </si>
  <si>
    <t>obshtina@rodopi.bg</t>
  </si>
  <si>
    <t>oba@rudozem.bg</t>
  </si>
  <si>
    <t>sadovo@sadovo.bg</t>
  </si>
  <si>
    <t>obsh_sam@mail.bg mayor@samokov.bg</t>
  </si>
  <si>
    <t>obshtina@svilengrad.bg</t>
  </si>
  <si>
    <t>obshtina@svishtov.bg</t>
  </si>
  <si>
    <t>kmet@svoge.bg</t>
  </si>
  <si>
    <t xml:space="preserve">sevlievo@sevlievo.bg </t>
  </si>
  <si>
    <t>obshtina@simeonovgrad.bg</t>
  </si>
  <si>
    <t>kmet@sliven.bg</t>
  </si>
  <si>
    <t>slivnitsa@slivnitsa.bg</t>
  </si>
  <si>
    <t>obshtina_smolyan@abv.bg</t>
  </si>
  <si>
    <t xml:space="preserve">stamboliyski@mail.orbitel.bg </t>
  </si>
  <si>
    <t>kmet@suhindol.egov.bg</t>
  </si>
  <si>
    <t>obshtina@tvarditsa.bg</t>
  </si>
  <si>
    <t>mayor@teteven.bg</t>
  </si>
  <si>
    <t>obshtina@topolovgrad.bg</t>
  </si>
  <si>
    <t>obshtina@ugarchin.com</t>
  </si>
  <si>
    <t>hayredin_ob@mail.bg</t>
  </si>
  <si>
    <t>obshtina@harmanli.bg</t>
  </si>
  <si>
    <t>kmet@haskovo.bg</t>
  </si>
  <si>
    <t>contacts@hisarya.bg</t>
  </si>
  <si>
    <t>kmet@hitrino.bg</t>
  </si>
  <si>
    <t>Obshtina.Chelopech@chelopech.egov.bg</t>
  </si>
  <si>
    <t>mail@chepelare.bg</t>
  </si>
  <si>
    <t>obshtina@ob-shabla.org</t>
  </si>
  <si>
    <t>kmet@yablanitsa.bg</t>
  </si>
  <si>
    <t>qkimovo@net-surf.net</t>
  </si>
  <si>
    <t>obshtina@yakoruda.egov.bg </t>
  </si>
  <si>
    <t>Обща сума:</t>
  </si>
  <si>
    <t>Подписано</t>
  </si>
  <si>
    <t>Да</t>
  </si>
  <si>
    <t>РД-02-30-95/27.10.2022 г.</t>
  </si>
  <si>
    <t>РД-02-30-121/26.10.2022 г.</t>
  </si>
  <si>
    <t>РД-02-30-88/26.10.2022 г.</t>
  </si>
  <si>
    <t>РД-02-30-128/26.10.2022 г.</t>
  </si>
  <si>
    <t>РД-02-30-123/26.10.2022 г.</t>
  </si>
  <si>
    <t xml:space="preserve"> </t>
  </si>
  <si>
    <t>РД-02-30-26/25.10.2022 г.</t>
  </si>
  <si>
    <t>РД-02-30-143/26.10.2022 г.</t>
  </si>
  <si>
    <t>РД-02-30-23/25.10.2022 г.</t>
  </si>
  <si>
    <t>РД-02-30-14/24.10.2022 г.</t>
  </si>
  <si>
    <t>РД-02-30-16/24.10.2022 г.</t>
  </si>
  <si>
    <t>РД-02-30-149/27.10.2022 г.</t>
  </si>
  <si>
    <t>РД-02-30-78/26.10.2022 г.</t>
  </si>
  <si>
    <t>РД-02-30-15/24.10.2022 г.</t>
  </si>
  <si>
    <t>РД-02-30-17/24.10.2022 г.</t>
  </si>
  <si>
    <t>РД-02-30-152/27.10.2022 г.</t>
  </si>
  <si>
    <t>РД-02-30-10/24.10.2022 г.</t>
  </si>
  <si>
    <t>РД-02-30-13/24.10.2022 г.</t>
  </si>
  <si>
    <t>РД-02-30-20/24.10.2022 г.</t>
  </si>
  <si>
    <t>РД-02-30-84/26.10.2022 г.</t>
  </si>
  <si>
    <t>РД-02-30-153/27.10.2022 г.</t>
  </si>
  <si>
    <t>РД-02-30-159/27.10.2022 г.</t>
  </si>
  <si>
    <t>РД-02-30-11/24.10.2022 г.</t>
  </si>
  <si>
    <t>РД-02-30-135/26.10.2022 г.</t>
  </si>
  <si>
    <t>РД-02-30-18/24.10.2022 г.</t>
  </si>
  <si>
    <t>РД-02-30-12/24.10.2022 г.</t>
  </si>
  <si>
    <t>РД-02-30-19/24.10.2022 г.</t>
  </si>
  <si>
    <t>РД-02-30-96/26.10.2022 г.</t>
  </si>
  <si>
    <t xml:space="preserve"> РД-02-30-138/26.10.2022 г.</t>
  </si>
  <si>
    <t>РД-02-30-75/26.10.2022 г.</t>
  </si>
  <si>
    <t>РД-02-30-53/25.10.2022 г.</t>
  </si>
  <si>
    <t>РД-02-30-117/26.10.2022 г.</t>
  </si>
  <si>
    <t>РД-02-30-155/27.10.2022 г.</t>
  </si>
  <si>
    <t>РД-02-30-136/26.10.2022 г.</t>
  </si>
  <si>
    <t>РД-02-30-150/27.10.2022 г.</t>
  </si>
  <si>
    <t>РД-02-30-46/25.10.2022 г.</t>
  </si>
  <si>
    <t>РД-02-30-132/26.10.2022 г.</t>
  </si>
  <si>
    <t>РД-02-30-86/26.10.2022 г.</t>
  </si>
  <si>
    <t>РД-02-30-166/27.10.2022 г.</t>
  </si>
  <si>
    <t>РД-02-30-165/27.10.2022 г.</t>
  </si>
  <si>
    <t>РД-02-30-176/27.10.2022 г.</t>
  </si>
  <si>
    <t>РД-02-30-171/27.10.2022 г.</t>
  </si>
  <si>
    <t>РД-02-30-28/25.10.2022 г.</t>
  </si>
  <si>
    <t>РД-02-30-107/26.10.2022 г.</t>
  </si>
  <si>
    <t>РД-02-30-35/25.10.2022 г.</t>
  </si>
  <si>
    <t>РД-02-30-116/26.10.2022 г.</t>
  </si>
  <si>
    <t>РД-02-30-127/26.10.2022 г.</t>
  </si>
  <si>
    <t>РД-02-30-105/26.10.2022 г.</t>
  </si>
  <si>
    <t>РД-02-30-27/25.10.2022 г.</t>
  </si>
  <si>
    <t>РД-02-30-21/25.10.2022 г.</t>
  </si>
  <si>
    <t>РД-02-30-87/26.10.2022 г.</t>
  </si>
  <si>
    <t>РД-02-30-83/26.10.2022 г.</t>
  </si>
  <si>
    <t>РД-02-30-169/27.10.2022 г.</t>
  </si>
  <si>
    <t>РД-02-30-160/27.10.2022 г.</t>
  </si>
  <si>
    <t>РД-02-30-172/27.10.2022 г.</t>
  </si>
  <si>
    <t>РД-02-30-182/27.10.2022 г.</t>
  </si>
  <si>
    <t>РД-02-30-170/27.10.2022 г.</t>
  </si>
  <si>
    <t>РД-02-30-180/27.10.2022 г.</t>
  </si>
  <si>
    <t>РД-02-30-175/27.10.2022 г.</t>
  </si>
  <si>
    <t>РД-02-30-199/28.10.2022 г.</t>
  </si>
  <si>
    <t>РД-02-30-200/28.10.2022 г.</t>
  </si>
  <si>
    <t>РД-02-30-188/28.10.2022 г.</t>
  </si>
  <si>
    <t>РД-02-30-191/28.10.2022 г.</t>
  </si>
  <si>
    <t>РД-02-30-186/28.10.2022 г.</t>
  </si>
  <si>
    <t>РД-02-30-205/28.10.2022 г.</t>
  </si>
  <si>
    <t>РД-02-30-184/28.10.2022 г.</t>
  </si>
  <si>
    <t>РД-02-30-189/28.10.2022 г.</t>
  </si>
  <si>
    <t>РД-02-30-202/28.10.2022 г.</t>
  </si>
  <si>
    <t>РД-02-30-185/28.10.2022 г.</t>
  </si>
  <si>
    <t>РД-02-30-192/28.10.2022 г.</t>
  </si>
  <si>
    <t>РД-02-30-183/28.10.2022 г.</t>
  </si>
  <si>
    <t>РД-02-30-197/28.10.2022 г.</t>
  </si>
  <si>
    <t>РД-02-30-201/28.10.2022 г.</t>
  </si>
  <si>
    <t>РД-02-30-198/28.10.2022 г.</t>
  </si>
  <si>
    <t>РД-02-30-187/28.10.2022 г.</t>
  </si>
  <si>
    <t>РД-02-30-203/28.10.2022 г.</t>
  </si>
  <si>
    <t>РД-02-30-208/28.10.2022 г.</t>
  </si>
  <si>
    <t>РД-02-30-209/28.10.2022 г.</t>
  </si>
  <si>
    <t>РД-02-30-214/31.10.2022 г.</t>
  </si>
  <si>
    <t>РД-02-30-221/31.10.2022 г.</t>
  </si>
  <si>
    <t>РД-02-30-219/31.10.2022 г.</t>
  </si>
  <si>
    <t>РД-02-30-212/31.10.2022 г.</t>
  </si>
  <si>
    <t>РД-02-30-220/31.10.2022 г.</t>
  </si>
  <si>
    <t>РД-02-30-213/31.10.2022 г.</t>
  </si>
  <si>
    <t>РД-02-30-216/31.10.2022 г.</t>
  </si>
  <si>
    <t>РД-02-30-218/31.10.2022 г.</t>
  </si>
  <si>
    <t>РД-02-30-215/31.10.2022 г.</t>
  </si>
  <si>
    <t>РД-02-30-211/31.10.2022 г.</t>
  </si>
  <si>
    <t>РД-02-30-225/01.11.2022 г.</t>
  </si>
  <si>
    <t>РД-02-30-230/01.11.2022 г</t>
  </si>
  <si>
    <t>РД-02-30-226/01.11.2022 г</t>
  </si>
  <si>
    <t>РД-02-30-227/01.11.2022 г</t>
  </si>
  <si>
    <t>РД-02-30-228/01.11.2022 г</t>
  </si>
  <si>
    <t>РД-02-30-233/02.11.2022 г</t>
  </si>
  <si>
    <t>РД-02-30-234/02.11.2022 г.</t>
  </si>
  <si>
    <t>РД-02-30-235/02.11.2022 г</t>
  </si>
  <si>
    <t>РД-02-30-236/02.11.2022 г</t>
  </si>
  <si>
    <t>РД-02-30-232/02.11.2022 г</t>
  </si>
  <si>
    <t>РД-02-30-223/01.11.2022 г</t>
  </si>
  <si>
    <t>РД-02-30-237/02.11.2022 г.</t>
  </si>
  <si>
    <t>РД-02-30-239/03.11.2022 г.</t>
  </si>
  <si>
    <t>РД-02-30-242/08.11.2022 г.</t>
  </si>
  <si>
    <t>08-00-1400</t>
  </si>
  <si>
    <t>08-00-1431</t>
  </si>
  <si>
    <t>08-00-1384</t>
  </si>
  <si>
    <t>08-00-1371</t>
  </si>
  <si>
    <t>08-00-1470</t>
  </si>
  <si>
    <t>08-00-1459</t>
  </si>
  <si>
    <t>08-00-1439</t>
  </si>
  <si>
    <t>08-00-1376</t>
  </si>
  <si>
    <t>08-00-1453</t>
  </si>
  <si>
    <t>№ в акстър</t>
  </si>
  <si>
    <t>забележка</t>
  </si>
  <si>
    <t>08-00-1379</t>
  </si>
  <si>
    <t>08-00-1458</t>
  </si>
  <si>
    <t>08-00-1299</t>
  </si>
  <si>
    <t>08-00-1474</t>
  </si>
  <si>
    <t>08-00-1395</t>
  </si>
  <si>
    <t>08-00-1463</t>
  </si>
  <si>
    <t>08-00-1410</t>
  </si>
  <si>
    <t>08-00-1487</t>
  </si>
  <si>
    <t>08-00-1465</t>
  </si>
  <si>
    <t>08-00-1462</t>
  </si>
  <si>
    <t>08-00-1394</t>
  </si>
  <si>
    <t>08-00-1392</t>
  </si>
  <si>
    <t>08-00-1381</t>
  </si>
  <si>
    <t>08-00-1290</t>
  </si>
  <si>
    <t>Платени 50% аванси за СМР и СН, открита строителна площадка на 07.11.2022</t>
  </si>
  <si>
    <t>08-00-1491</t>
  </si>
  <si>
    <t>08-00-1373</t>
  </si>
  <si>
    <t>08-00-1374</t>
  </si>
  <si>
    <t>08-00-55</t>
  </si>
  <si>
    <t>08-00-1382</t>
  </si>
  <si>
    <t>08-00-1493</t>
  </si>
  <si>
    <t>08-00-1488</t>
  </si>
  <si>
    <t>08-00-1364</t>
  </si>
  <si>
    <t>08-00-1445</t>
  </si>
  <si>
    <t>08-00-1306</t>
  </si>
  <si>
    <t>08-00-1444</t>
  </si>
  <si>
    <t>08-00-1399</t>
  </si>
  <si>
    <t>08-00-1481</t>
  </si>
  <si>
    <t>08-00-1301</t>
  </si>
  <si>
    <t xml:space="preserve">08-00-16 </t>
  </si>
  <si>
    <t>08-00-1492</t>
  </si>
  <si>
    <t>08-00-1288</t>
  </si>
  <si>
    <t>08-00-1401</t>
  </si>
  <si>
    <t>08-00-1385</t>
  </si>
  <si>
    <t>08-00-1369</t>
  </si>
  <si>
    <t>08-00-1483</t>
  </si>
  <si>
    <t>РД-02-30-39/25.10.2022 г.</t>
  </si>
  <si>
    <t>РД-02-30-48/25.10.2022 г.</t>
  </si>
  <si>
    <t>електронен архив</t>
  </si>
  <si>
    <t>Налично само споразумение</t>
  </si>
  <si>
    <t>08-00-1390</t>
  </si>
  <si>
    <t>Наличен само един доклад</t>
  </si>
  <si>
    <t>Наличени доклад и отчет</t>
  </si>
  <si>
    <t>ДА</t>
  </si>
  <si>
    <t>Има ел.архив, трябва да се организира по хронологичен ред</t>
  </si>
  <si>
    <t>Не, трябва да се качи ел.архив</t>
  </si>
  <si>
    <t>НЕ, трябва да се качи ел. архив
няма даже и папка</t>
  </si>
  <si>
    <t>Има ел.архив, трябва да се организира по хронологичен ред и няма отчетни документи</t>
  </si>
  <si>
    <t xml:space="preserve">Има ел.архив, трябва да се организира по хронологичен ред </t>
  </si>
  <si>
    <t>НЕ, трябва да се качи ел. архив</t>
  </si>
  <si>
    <t>08-00-1380</t>
  </si>
  <si>
    <t>08-00-1415</t>
  </si>
  <si>
    <t>03-02-20</t>
  </si>
  <si>
    <t>08-00-1386
08-00-1396</t>
  </si>
  <si>
    <t>08-00-1404</t>
  </si>
  <si>
    <t>08-00-1412</t>
  </si>
  <si>
    <t>08-00-1435</t>
  </si>
  <si>
    <t>Протокол 2А от 14.03.2023</t>
  </si>
  <si>
    <t>08-00-1469</t>
  </si>
  <si>
    <t>08-00-1473</t>
  </si>
  <si>
    <t>08-00-1480</t>
  </si>
  <si>
    <t>Вълчи дол</t>
  </si>
  <si>
    <t>08-00-1514</t>
  </si>
  <si>
    <t>08-00-1495
08-00-1271</t>
  </si>
  <si>
    <t>03-02-19</t>
  </si>
  <si>
    <t>08-00-1432</t>
  </si>
  <si>
    <t>08-00-1464</t>
  </si>
  <si>
    <t>08-00-1456</t>
  </si>
  <si>
    <t>08-00-429
08-00-1475</t>
  </si>
  <si>
    <t>08-00-82
08-00-1496</t>
  </si>
  <si>
    <t>08-00-1279</t>
  </si>
  <si>
    <t>-</t>
  </si>
  <si>
    <t>08-00-1377</t>
  </si>
  <si>
    <t>08-00-1393</t>
  </si>
  <si>
    <t>Отговорник съгл. Заповед РД-02-14-101 от 24.01.2023</t>
  </si>
  <si>
    <t>Стефка Захарян</t>
  </si>
  <si>
    <t>Светла Христова</t>
  </si>
  <si>
    <t>Мариана Куюмджиева</t>
  </si>
  <si>
    <t>Венцислав Борисов</t>
  </si>
  <si>
    <t>Галина Дикова</t>
  </si>
  <si>
    <t>Димо Василев</t>
  </si>
  <si>
    <t>Евелина Недялкова</t>
  </si>
  <si>
    <t>Славина Чапкънова</t>
  </si>
  <si>
    <t>Елица Хинова</t>
  </si>
  <si>
    <t>Лили Зафирова</t>
  </si>
  <si>
    <t>Юлия Гецева</t>
  </si>
  <si>
    <t>Пенка Благоева</t>
  </si>
  <si>
    <t>Цветелина Петкова</t>
  </si>
  <si>
    <t>08-00-1406</t>
  </si>
  <si>
    <t>08-00-1485</t>
  </si>
  <si>
    <t>08-00-1457</t>
  </si>
  <si>
    <t>Тече процедура по ЗОП и жалба</t>
  </si>
  <si>
    <t>08-00-1367</t>
  </si>
  <si>
    <t>08-00-1482</t>
  </si>
  <si>
    <t>08-00-103
08-00-1402</t>
  </si>
  <si>
    <t>08-00-1478</t>
  </si>
  <si>
    <t xml:space="preserve">Протокол 2а от 15.02.2023 </t>
  </si>
  <si>
    <t>08-00-1388</t>
  </si>
  <si>
    <t>Миглена Лавова</t>
  </si>
  <si>
    <t>08-00-1484</t>
  </si>
  <si>
    <t>08-00-582</t>
  </si>
  <si>
    <t>08-00-1375</t>
  </si>
  <si>
    <t>08-00-1472</t>
  </si>
  <si>
    <t>Протокол 2а от 10.04.2023, Акт 10 от 13.04.2023 г., платен аванс</t>
  </si>
  <si>
    <t>№ по РМС</t>
  </si>
  <si>
    <t xml:space="preserve">пореден № </t>
  </si>
  <si>
    <t>№ и дата на Споразумението</t>
  </si>
  <si>
    <t>Остатък 
(неотчетени средства)</t>
  </si>
  <si>
    <t>СПРАВКА</t>
  </si>
  <si>
    <t>Реконструкция и подмяна на част от ВВМ с. Опан, община Опан - Втори етап</t>
  </si>
  <si>
    <t>предоставени разходни документи за отчетените средства (лв.)</t>
  </si>
  <si>
    <t>за сключени споразумения по РМС 711 от 30.09.2022 г., за част "ВиК"</t>
  </si>
  <si>
    <t>Обжалва се решението по обществената поръчка.</t>
  </si>
  <si>
    <t>Прекратен е съществуващия договор, предприети действия за нова процедура по ЗОП и актуализиране на проекта</t>
  </si>
  <si>
    <t>Сключени договори. Обекта е в процес на изпълнение</t>
  </si>
  <si>
    <t>Протокол 2а от 18.4.2023г. Има предоставени договори за СМР №18,19,20/30.06.2022 г. , както и договор за строителен и авторски надзор №10/07.04.2022 г. Няма предоставени платежни документи.</t>
  </si>
  <si>
    <t>„Рехабилитация на водопроводна мрежа на територията на община Каспичан със следните подобекти:
т.2. „Изграждане, реконструкция и рехабилитация на водоснабдителни системи и съоръжения на територията на Община Каспичан“, подобект „Проект за водопровод по ул. “Никола Вапцаров“, ул. “Христо Ботев“, ул. “Хан Аспарух“ и ул. “Пирин“ с. Могила, община Каспичан“, Етап 1, водопровод по ул. „Никола Вапцаров“ и 
т.3. „Изграждане, реконструкция и рехабилитация на водоснабдителни системи и съоръжения на територията на Община Каспичан“, подобект „Проект за водопровод по ул. “Никола Вапцаров“, ул. “Христо Ботев“, ул. “Хан Аспарух“ и ул. “Пирин“ с. Могила, община Каспичан“, Етап 2, водопровод по ул. „Христо Ботев“</t>
  </si>
  <si>
    <t>Протокол 2а, Разрешение за строеж, Акт 10. Предоставени фактури по изпълнението на обекта на стойност 2 806 210,09 лв. без ДДС</t>
  </si>
  <si>
    <t>Няма подписан договор за СМР</t>
  </si>
  <si>
    <t>РС</t>
  </si>
  <si>
    <t>ЗОП</t>
  </si>
  <si>
    <t>Договори</t>
  </si>
  <si>
    <t>Акт 2а</t>
  </si>
  <si>
    <t>Акт 15</t>
  </si>
  <si>
    <t>РД-02-30-231/01.11.2022 г.</t>
  </si>
  <si>
    <t>да</t>
  </si>
  <si>
    <t>СМР, СН, АН</t>
  </si>
  <si>
    <t xml:space="preserve">да </t>
  </si>
  <si>
    <t>№ 181/24.10.2022 г.</t>
  </si>
  <si>
    <t>79/14.04.2022 г.</t>
  </si>
  <si>
    <t>Необходими допълнителни средства</t>
  </si>
  <si>
    <t>не</t>
  </si>
  <si>
    <t>с-ст на предоставените от Общините договори
без ДДС</t>
  </si>
  <si>
    <t>№ 374/28.11.2007; 45/27.11.2013 г.; 42/01.12.2014 г.; № 16/15.02.2023 г. допълнени проектни части</t>
  </si>
  <si>
    <t>№ 61/25.10.2021 г.</t>
  </si>
  <si>
    <t>№ 35/13.01.2022г., Заповед № 118/27.10.2022 г.</t>
  </si>
  <si>
    <t>№ 24/18.04.2022 г.</t>
  </si>
  <si>
    <t>СМР</t>
  </si>
  <si>
    <t>СН</t>
  </si>
  <si>
    <t>№ 20/23.11.2018; презаверено от 18.03.2022 г.</t>
  </si>
  <si>
    <t>Протокол 2а.
Предоставени договори за СМР, АН и СН.
Платен аванс - 958 591,00 
с писмо са поискали останалите средства, за да задвършат обекта</t>
  </si>
  <si>
    <t>№ 2/29.01.2018 г.; презаверено от 08.03.2021 г.</t>
  </si>
  <si>
    <t>№ 20/01.09.2021 г.</t>
  </si>
  <si>
    <t>№ 18/18.08.2016г., заповед № РД-25-343/03.07.2018г. За разделяне на етапи</t>
  </si>
  <si>
    <t xml:space="preserve">РД-02-30-217/31.10.2022 </t>
  </si>
  <si>
    <t>№ РС-76/01.06.2022 г.</t>
  </si>
  <si>
    <t>№ 9/29.10.2015г., презаверено на 06.12.2018г., заповед № РД-29/15.02.2019 г. за етапи; заповед № РД-107/09.05.2019г. за изменение на етап; № РД-205/02.08.2019г. за изменение на етапи</t>
  </si>
  <si>
    <t>процедурата за СМР се жали. Предстои сключване на договор за СН</t>
  </si>
  <si>
    <t>№ 001/12.08.2021г.</t>
  </si>
  <si>
    <t>Подадена жалба пред КЗК за процедурата за СМР.
Предстои сключване на договор за СН.
Договор за АН ще сключат, ако им се осигурят останалите 50 %</t>
  </si>
  <si>
    <t>№ 108/14.06.2021 г.</t>
  </si>
  <si>
    <t>№ 12/25.11.2022 г., заповед № 2/22.12.2022 г. за допълване</t>
  </si>
  <si>
    <t>№ 34/23.08.2018 г.</t>
  </si>
  <si>
    <t>№ 110/19.06.2015 г., презаверено  РС-31/22.02.2018 г., заповед № 10-17-29/26.09.2017 г., заповед № 10-17-68/19.09.20218 г., заповед № 10-17-20/03.06.2021 г.</t>
  </si>
  <si>
    <t>Сключен договор за СМР. Платен аванс. Протокол 2а от 08.06.2023</t>
  </si>
  <si>
    <t>№ 5/05.11.2018 г., презаверено на 06.12.2021 г.</t>
  </si>
  <si>
    <t>АН</t>
  </si>
  <si>
    <t>№ 01/15.04.2020 г.</t>
  </si>
  <si>
    <t>№ 81/11.07.2022 г.</t>
  </si>
  <si>
    <t>№ 27/08.03.2021 г.</t>
  </si>
  <si>
    <t>Протокол 2А от 06.01.2023</t>
  </si>
  <si>
    <t>№ 7/17.03.2021 г., заповед № 5/29.11.2022 г. за етапи</t>
  </si>
  <si>
    <t>№ 4/09.02.2021 г.</t>
  </si>
  <si>
    <t>Протокол 2А от 08.12.2022 г. Изпълнено СМР на 50%. Изпълнени СМР  и изплатени 349 612,43 лв.</t>
  </si>
  <si>
    <t>№ 35/16.09.2022 г.</t>
  </si>
  <si>
    <t>Протокол 2а от 16.11.2022
 Протокол 11 от 18.04.2023</t>
  </si>
  <si>
    <t>№ 4/09.04.2020 г.</t>
  </si>
  <si>
    <t>№ 92/31.07.2013 г., последно презаверено 2019 г., заповед №12/2 от 20.10.2021 г. за етапно изграждане</t>
  </si>
  <si>
    <t>№ 2/12.04.2022 г., заповед № 01/18.04.2022 г.</t>
  </si>
  <si>
    <t>№ 3/14.03.2017г., заповед № 3/19.10.2018г. за етапи</t>
  </si>
  <si>
    <t>протокол 2а от 14.11.2022
100% са разплатени средствата по споразумението
С писмо искат останалите средства 50%</t>
  </si>
  <si>
    <t>№ 20/28.06.2018 г.,презаверено на 14.07.2021 г.</t>
  </si>
  <si>
    <t>протокол 2а от 25.11.2022 г.
Акт 15 от 28.03.2023 г. за Етап 3.
Необходимите средства са за Етап 2</t>
  </si>
  <si>
    <t>№ 147/27.11.2017г., презаверено от28.03.2018 г. зе Етап 1
№ 20/19.03.2021 г.за Етап 2</t>
  </si>
  <si>
    <t>Етап 1 - Протокол 2а от 21.11.2022г. 
Етап 2 - Протокол 2а от 28.11.2022г. 
Представени са договори за СМР - 2 бр. за двата етапа и за СН 2 бр.</t>
  </si>
  <si>
    <t>№ 2/31.01.2023</t>
  </si>
  <si>
    <t>Протокол 2а от 08.03.2023</t>
  </si>
  <si>
    <t>№ 21/18.09.2017, презаверено на 05.01.2021</t>
  </si>
  <si>
    <t>№ 8/26.02.2016 г. , заповед от 15.12.2022 г. за изменение</t>
  </si>
  <si>
    <t>протокол 2а от 21.12.2022.
Разплатени са 30% от средствата</t>
  </si>
  <si>
    <t>№ 164/22.07.2022</t>
  </si>
  <si>
    <t>Протокол 2а от 16.05.2023
Платено само за АН. Изпълняват се СМР, но няма разплащане към строителя</t>
  </si>
  <si>
    <t>№ 39/27.08.2013 г., презаверено от 09.08.2016г., заповеди от 2017, 2018 за етапи</t>
  </si>
  <si>
    <t>№ 120/18.07.2022</t>
  </si>
  <si>
    <t>Протокол 2А от 12.12.2022
Изпълнено СМР на 92%</t>
  </si>
  <si>
    <t>№ 31/16.03.2022</t>
  </si>
  <si>
    <t>Акт 15 от 23.01.2023 г. за Етап 1, до размера на споразумението.</t>
  </si>
  <si>
    <t>№ 9/24.04.2018 г., презаверено 04.06.2021 г.</t>
  </si>
  <si>
    <t>Средствата по споразумението са отчетени на 100%</t>
  </si>
  <si>
    <t>Протокол 2а от 11.01.2023
Изпълнява се СМР. Очакщва се Акт 15 до края на м. юни</t>
  </si>
  <si>
    <t>Протокол 2а от 26.4.2023
100 % СМР в рамките на споразумението</t>
  </si>
  <si>
    <t>Протокол 2а от 29.05.2023.
Изпълнението на СМР е 7 %. Не са разплащани средства на изпълнителя</t>
  </si>
  <si>
    <t>Платени са 85% от средствата</t>
  </si>
  <si>
    <t>не е приключила процедурата по ЗОП</t>
  </si>
  <si>
    <t>Няма договори</t>
  </si>
  <si>
    <t>Обектът е радселен на етапи. Има Разрешение за ползване на Етап 1. Разплатгени са изцяло средствата за този етап</t>
  </si>
  <si>
    <t>Изпълнено СМР 95%</t>
  </si>
  <si>
    <t>Сумата на договорите е за СМР , АН и проектиране
Протокол 26 от 07.03.2023
Акт 15 от 29.03.2023</t>
  </si>
  <si>
    <t>Изпълнени СМР в рамките на сумата по споразумението. Искат останалите средства
Не са разплащали на строителя</t>
  </si>
  <si>
    <t>Протокол 2а от 17.08.2020 г.</t>
  </si>
  <si>
    <t>СМР, АН</t>
  </si>
  <si>
    <t>Протокол 2А от 07.03.23 г.за етап 2, 9, 10, 11, 12 и 13; 
Протокол 2А от 12.05.23 г. за етап 1, 3, 4, 5, 6, 7, 8
70% от СМР е изпълнено. Няма разплатени средства по споразумението</t>
  </si>
  <si>
    <t>Протоколи 2А от 26.10.2022
Обектът е изпълнен на 100 % в рамките на споразуението. Спрян с Акт 10, поради изразходване на средствата</t>
  </si>
  <si>
    <t>Акт 2 от 17.11.2022</t>
  </si>
  <si>
    <t>Протокол 2а от 29.03.2023</t>
  </si>
  <si>
    <t>Протокол 2а от 16.11.2022
Изпълнено СМР 80,5%</t>
  </si>
  <si>
    <t>Има договор само за СМР
 Няма Протокол 2а</t>
  </si>
  <si>
    <t xml:space="preserve">Няма сключен договор за СМР, </t>
  </si>
  <si>
    <t>Има сключено ДОПЪЛНИТЕЛНО СПОРАЗУМЕНИЕ № 1/09.05.2023г.
КЪМ СПОРАЗУМЕНИЕ № РД-02-30-212/31.10.2022 г., с което предоставената сума на община Сливен (Общината) за обекта част ВиК е с променени средства в размер на 103 000 лв.Не е стартирал строителен процес. Има сключен Договор за изготвяне на доклад за съответствие на инвестиционен проект (от 15.10.2021г.)</t>
  </si>
  <si>
    <t>Договорът на СМР ще влезе в сила след Протокол за откриване на стр.площадка. Има подписан договор за СМР. Има договор за АН и анекс за СН. Не е започнало изпълнение на СМР.</t>
  </si>
  <si>
    <t>Протокол 2а от 28.10.2022г. Има предоставени договор за СМР 94/17.08.2022., както и договори за строителен надзор от 20.09.2022г. и авторски надзор от 11.10.2022г. Има предоставени фактури. Етап на изпълнение 50% от СМР. Липса на финансови средства.</t>
  </si>
  <si>
    <t>продължава процедурата по ЗОП</t>
  </si>
  <si>
    <t>няма договори</t>
  </si>
  <si>
    <t xml:space="preserve">Платени аванси по дог. За СМР за ОП1 и ОП 2
Протокол 2а от 20.03.2023 и 29.03.2023 г.
Изпълняват се два лота, всеки с отделен договор за СМР, СН и АН, общо 6 договора
</t>
  </si>
  <si>
    <t xml:space="preserve">Представен Договор от 28.10.2022 г.за ОП1- ул. Опълченска за СМР, Договор от 28.10.2022 г.за ОП2- ул. Теодосии Търновски, ул. Димитър Найденов, ул.Сливница за СМР и от Договор от 28.10.2022 г.за ОП3- ул. Ксилифорска за СМР. 
</t>
  </si>
  <si>
    <t>№ 30/26.09.2016, презаверено 2020 г., 2021 г. и от 20.04.2023 г.</t>
  </si>
  <si>
    <t>РС не е валидно. Актуализират проекта</t>
  </si>
  <si>
    <t>№ 40/05.09.2019г., презаверено на 27.10.2022 г., заповед № 6/03.04.2023</t>
  </si>
  <si>
    <t xml:space="preserve">Протокол 2а от 12.12.2022 г. 
СМР по част "ВиК" е изпълнено
</t>
  </si>
  <si>
    <t>Протокол 2а от 12.12.2022г. Предоставени актове по време на строителството</t>
  </si>
  <si>
    <t>от 20.02.2017 г., презаверено 10.06.2020 г.</t>
  </si>
  <si>
    <t>Протокол 2а от 15.05.2023
Изпълнение на СМР 35%, не са разплащани средства на изпълнителя</t>
  </si>
  <si>
    <t>процедурата по ЗОП за СМР не е приключила</t>
  </si>
  <si>
    <t>Протокол 2а - 13.06.2023 г.</t>
  </si>
  <si>
    <t xml:space="preserve">СМР спряно, заради промени в ПУП/ПП
</t>
  </si>
  <si>
    <t>протокол 2а от 06.03.2023
100% изпълнени СМР, в рамките на споразумението. Разплатени средства 89,72%
Работата за първия подетап е физически изпълнена, до 10 дни ще са налични протоколите обр. 19, фактурите и акт 15. Имат готовност за започване на втория подетап</t>
  </si>
  <si>
    <t>СМР - 4 договора; СН, АН
Протокол 2а от 20.02.2023 за етапи III, IV и V от РС
Изпълнено СМР 30% от трите етапа. 
Фактурирани дейности - 1 180 000 лв.
Разплатени средства - 1 002 160,06 лв</t>
  </si>
  <si>
    <t>изтекло РС</t>
  </si>
  <si>
    <t>Подготвена процедура за стартиране по ЗОП за инженеринг</t>
  </si>
  <si>
    <t xml:space="preserve">Протокол 2а от 10.11.2022 г.
Акт 10 от 18.04.2023., обектът е спрян поради изчерпване на осигурения фин.ресурс.
Имат възможност за продължаване на дейностите
</t>
  </si>
  <si>
    <t>№5 от 28.08.2020 г.</t>
  </si>
  <si>
    <t xml:space="preserve">Протокол 2А от 10.04.2023
платен аванс по дог. за СМР, изпълнение са около 50% от дейностите или 100% от осигуреното финансиран.
Акт 10 от 11.05.2023 , поради изчерпване на осигуреното финансиране, в момента се изготвят документите и актовете </t>
  </si>
  <si>
    <t>№ 23 от 14.12.2020 г.</t>
  </si>
  <si>
    <t xml:space="preserve">№ 3 от 09.03.2022 г. </t>
  </si>
  <si>
    <t xml:space="preserve">Открита строителна площадка на 24.04.2023
Изпълнени СМР 10%. От юни месец има 2 бедствени ситуации във връзка с дъждовете и наводнения. Имат готовност да изпълнят всички дейности до 100% за завършване на обекта при стабилизиране на времето, включитлно и при осигуряване на останалите средства от договорите </t>
  </si>
  <si>
    <t xml:space="preserve">№4 от 25.07.2017 г., презаверено на 20.11.2020 г. </t>
  </si>
  <si>
    <t>Протокол 2а от 01.12.2022
80% изпълнени СМР</t>
  </si>
  <si>
    <t>Обжалва се процедурата по ЗОП за СМР</t>
  </si>
  <si>
    <t>Процедурата по ЗОП се жали</t>
  </si>
  <si>
    <t>Протокол 2а о т 14.12.2022 г. 
 СМР са изпълнени на 100% в рамките на средствата по споразумението. 
Спрян с Акт 10 до осигуряване на останалите 50% от необходимите средства за обекта</t>
  </si>
  <si>
    <t>Протокол 2а о т 28.11.2022 г.
 СМР са изпълнени на 100% в рамките на средствата по споразумението. 
Неоходими са останалите 50% за завършване на обекта</t>
  </si>
  <si>
    <t>Протокол 2а от 16.11.2022
Изпълнени и отчетени СМР 80% от средствата по споразумението</t>
  </si>
  <si>
    <t>№ 54/30.10.2020 г.</t>
  </si>
  <si>
    <t>Процедурата по ЗОП за СМР е обжалвана и прекратена.
Открита е нова процедура. Предстои сключване на договор до 30.06.2023 г.</t>
  </si>
  <si>
    <t>№ 10/08.03.2021 г.</t>
  </si>
  <si>
    <t>Протокол 2а от 21.07.2021 
 Няма информация за изпълнение на СМР и не са предоставени отчетни документи</t>
  </si>
  <si>
    <t>Протокол 2а от 28.10.2022г. Има предоставени фактури.
Разплатен на 100 % в рамките на споразумчението</t>
  </si>
  <si>
    <t xml:space="preserve">Протокол 2а от 15.11.2022
СМР изпълнени на 100% иазплатени на 69,19% в рамките на споразумението. Предстои плащане на останалата част от споразумението.
Предстои подписване на Акт 10 до сигуряване на останалата част от необходимото финансиране за обекта
</t>
  </si>
  <si>
    <t>Протокол 2а 
СМР изпълнено на 15,2 %. 
Няма извършени плащания</t>
  </si>
  <si>
    <t>№ 20/04.06.2018 г., презаверено на 09.06.2021 г.</t>
  </si>
  <si>
    <t>РС № 2/06.01.2017г.,  последно допълнен със заповед № 41/27.10.2021 г.</t>
  </si>
  <si>
    <t>Предоставени договори . Предстои подписване на Протокол 2а.
Преведен аванас 834 021,84</t>
  </si>
  <si>
    <t>Тече процедура по ЗОП за СМР на два лота. Към 13.06.2023 г. няма подписани договори за СМР.
Подписан договор за СН за 1500 лв</t>
  </si>
  <si>
    <t>100% изпълнение на СМР, в рамките на споразумението
Сумата за необходимите средства е разлика от сумата на предоставените договори и предоставените средства по РМС, която е повече от 50% от тези по РМС</t>
  </si>
  <si>
    <t>Протокол 2а от 08.11.2022 г.
Разплатени средства на 98,5% от споразумението</t>
  </si>
  <si>
    <t>Протокол 2а от 20.02.2023
Изпълнява се СМР и има разплатени средства на 44% от споразумението</t>
  </si>
  <si>
    <t>Дейностите са в изпълнение.
 Протокол 2А от 05.12.2022.
Разделен на 2 етапа. За Етап 1 има Акт 15, Акт 16 и Разрешение за ползване
очакват останалите 50 % от стойността, за да изпълнят Етап 2</t>
  </si>
  <si>
    <t>Протокол 2А от 04.01.2023
Разплатени средства 60% от споразумението</t>
  </si>
  <si>
    <t>Протокол 2а от 21.11.2022 г.
Разплатени средства на 83%</t>
  </si>
  <si>
    <t>Протокол 2а от 13.03.2023
СМР са извършени на 85% в рамките на споразумението. Към момента са разплатени средства на 71% от споразумението</t>
  </si>
  <si>
    <t>Не са стартирани процедури по ЗОП, не са избрани изпълнители и не са стартирали СМР за обекта.</t>
  </si>
  <si>
    <t xml:space="preserve">не </t>
  </si>
  <si>
    <t xml:space="preserve">Акт 2а/20.03.2023 г. , напарвени аваносви плащания по договор за СМР и за изпълнени СМР по Пр.1 от 11.05.2023 г.
</t>
  </si>
  <si>
    <t>Етап 1 -Акт 15 от 15.12.2022 г., Акт 16 от 08.02.2023 г., Разрешение за ползване № ДК-07-ВТ-9/20.02.2023 г.
Етап 2 - Акт 15 от 18.05.2023 г.
СМР изпълнено на 100%. Разплатени 97,65% от споразумението</t>
  </si>
  <si>
    <t>Към момента се подготвят актове за приемане и заплащане на СМР  с очаквана стойност около 900 000 лв. 
Подписан е Акт 10 до осигуряване на допълнителните 50%</t>
  </si>
  <si>
    <t xml:space="preserve">Протокол 2а от 10.05.2021. Изпълнени са етапи с друго финансиране през 2021г.
СМР изпълнено и разплатено на 80%
</t>
  </si>
  <si>
    <t>№ 12/07.06.2018г., презаверено на 15.07.2021 г.</t>
  </si>
  <si>
    <t>№ 27/20.10.2022 г.</t>
  </si>
  <si>
    <t xml:space="preserve">
Протокол 2а от 21.12.2022 г.
Разплатени средства аванс и по трете договора 549 286,67 лв
Представени актове по време на СМР. Изпълнено СМР на 60%
Очакват останалите 50% за довършване на обекта</t>
  </si>
  <si>
    <t>Протокол 2а от 13.02.2023
Платени разходи за извършено СМР
В писмо е поискано осигуряване на останалите 50% за завършване на обекта</t>
  </si>
  <si>
    <t>№ 16/29.03.2012 г., презаверено 23.01.2020 г.</t>
  </si>
  <si>
    <t>№ 4/12.05.2022</t>
  </si>
  <si>
    <t>№ 10/25.07.2022г.</t>
  </si>
  <si>
    <t>Протокол 2А от 25.01.2023 г.
Изпълнени СМР 91,40%</t>
  </si>
  <si>
    <t xml:space="preserve">№ 37/10.07.2008, презаверено на 15.12.2016. </t>
  </si>
  <si>
    <t xml:space="preserve">Изпълнено и разплатено СМР на 90% 
Етап 1: Акт 15/25.01.2023 г.
</t>
  </si>
  <si>
    <t>Протокол 2а  от 09.05.2023
Платени аванси - 1 466 855,50
СМР се изпълнява. Очаква се СМР да завърши до края на м. юли 2023 г.</t>
  </si>
  <si>
    <t>№ 2/04.03.2020 г.</t>
  </si>
  <si>
    <t>№ 24/30.12.2020, заповед №1/20.01.2021 г.</t>
  </si>
  <si>
    <t>Платен 50% аванс по дговора.
Протокол 2а от 01.02.2023
Не са представени документи за изпълнено СМР</t>
  </si>
  <si>
    <t>Протокол 2а от 19.10.2022г. Има предоставени договор за СМР, СН, АН
Акт 10 от 03.04.2023 г., поради изчерпване на финансовия ресурс</t>
  </si>
  <si>
    <t>№ 8/30.05.2022</t>
  </si>
  <si>
    <t>№ 3/08.04.2022</t>
  </si>
  <si>
    <t>№ АГ-08-113/25.05.2022</t>
  </si>
  <si>
    <t>№ 255/06.07.2022</t>
  </si>
  <si>
    <t>№ 51/11.08.2022</t>
  </si>
  <si>
    <t>№ 38/24.11.2021</t>
  </si>
  <si>
    <t>№ 9/21.06.2019</t>
  </si>
  <si>
    <t>№ 48/06.11.2017 г. ,презаверено на 09.02.2021 г.</t>
  </si>
  <si>
    <t>Протокол 2а от 10.11.2022 г.
Разплатени средства на 98%
Обектът е спрян с Акт 10 до осигуряване на останалите 50% от средства за обекта</t>
  </si>
  <si>
    <t>Планирано подписване на Протокол 2а от 15.06.2023</t>
  </si>
  <si>
    <t>Предостаена справка на 14.06.2023.
Договорите са от 2018 г. и има изпълнено СМР по друго финансиране
Разплатени средства от споразумението 90,66%. Останалата част ще бъде отчетена до края на м. юни 2023 г.</t>
  </si>
  <si>
    <t>№ 39/02.10.2018</t>
  </si>
  <si>
    <t>№ 50/14.09.2020
№ 51/14.09.2020</t>
  </si>
  <si>
    <t xml:space="preserve">№ 10/29.03.2018, заповеди за допълване </t>
  </si>
  <si>
    <t>№ 67/07.07.2022 и заповеди за допълване</t>
  </si>
  <si>
    <t>№ 6/18.03.2022</t>
  </si>
  <si>
    <t>№ 55/22.06.2022</t>
  </si>
  <si>
    <t>№ 489/22.12.2015, заповеди</t>
  </si>
  <si>
    <r>
      <t xml:space="preserve">Протокол 2а от 31.03.2021
Изпълнява се СМР
</t>
    </r>
    <r>
      <rPr>
        <sz val="11"/>
        <color rgb="FFFF0000"/>
        <rFont val="Calibri"/>
        <family val="2"/>
        <charset val="204"/>
        <scheme val="minor"/>
      </rPr>
      <t>Необходими средства 195 440,58 лв. заявени в писмо от общината от 13.06.2023</t>
    </r>
  </si>
  <si>
    <t xml:space="preserve">Протокол 2а/19.12.2023 г. Сумата по предоставените договори е само за СМР. Платен аванс за СМР. Етап 1 е изпълнен на 50%.
Необходимите допълнителни средства за завършване на обекта са поискани в докладите. </t>
  </si>
  <si>
    <t>Договор за СМР от 2022 г. Няма договори за СН и АН. Актуализира се проекта</t>
  </si>
  <si>
    <t>Протокол 2а от 03.05.2023. Разплатените са средства са за аванас. Изпълнено СМР 23,4 %</t>
  </si>
  <si>
    <t>№ 65/16.11.2020</t>
  </si>
  <si>
    <t>Протокол 2а от 26.06.2023 г.</t>
  </si>
  <si>
    <t>ППР и АН, СН</t>
  </si>
  <si>
    <t xml:space="preserve">
Съгласно писмо от 15.06.2023.Не са представени договори и РС. В таблица са ипасни договори за ППР и АН, СН.
Описана е фактура от 16.05.2023 г. за 3 504 лв. без ДДС за оценка на съответствието</t>
  </si>
  <si>
    <t>№ 15/18.05.2023</t>
  </si>
  <si>
    <r>
      <t xml:space="preserve">Протокол 2а от 03.11.2022 
</t>
    </r>
    <r>
      <rPr>
        <sz val="11"/>
        <color rgb="FFFF0000"/>
        <rFont val="Calibri"/>
        <family val="2"/>
        <charset val="204"/>
        <scheme val="minor"/>
      </rPr>
      <t>Договорът за ППР и АН е от 2016 г. Представена е фактура за изготвяне на проект с дата …………………. за …………………… лв.</t>
    </r>
  </si>
  <si>
    <r>
      <t xml:space="preserve">Протокол 2а от 30.05.2023г. Има предоставени договор за СМР №11/06.03.2023., както и договор за строителен и авторски надзор. Има издадена фактура за 50% от СМР. Сумата не достига за СН. Преведен е аванс за АН.
</t>
    </r>
    <r>
      <rPr>
        <sz val="11"/>
        <color rgb="FFFF0000"/>
        <rFont val="Calibri"/>
        <family val="2"/>
        <charset val="204"/>
        <scheme val="minor"/>
      </rPr>
      <t>Искат останалата сума от необходимите средства</t>
    </r>
  </si>
  <si>
    <r>
      <t xml:space="preserve">Протокол 2а от </t>
    </r>
    <r>
      <rPr>
        <sz val="11"/>
        <color rgb="FFFF0000"/>
        <rFont val="Calibri"/>
        <family val="2"/>
        <charset val="204"/>
        <scheme val="minor"/>
      </rPr>
      <t xml:space="preserve">09.12.2022г. </t>
    </r>
    <r>
      <rPr>
        <sz val="11"/>
        <rFont val="Calibri"/>
        <family val="2"/>
        <charset val="204"/>
        <scheme val="minor"/>
      </rPr>
      <t>Има предоставени договор за СМР, СН, АН-28.11.2022. Има предоставени фактури.</t>
    </r>
  </si>
  <si>
    <r>
      <t xml:space="preserve">Протокол 2а от 20.03.2023 г. </t>
    </r>
    <r>
      <rPr>
        <sz val="11"/>
        <color rgb="FFFF0000"/>
        <rFont val="Calibri"/>
        <family val="2"/>
        <charset val="204"/>
        <scheme val="minor"/>
      </rPr>
      <t>Извършени са 28,02 % към 16.06.2023 г. от част СМР. Приложена 1 фактура от 05.05.2023 г.</t>
    </r>
  </si>
  <si>
    <r>
      <t xml:space="preserve">Протокол 2А от 16.1.2023 г. Изпълнен обекта на 100%, до размера на средствата по споразумението. Не са разплатени средства - довършват се окончателно довършителни работи и актуване. </t>
    </r>
    <r>
      <rPr>
        <sz val="11"/>
        <color rgb="FFFF0000"/>
        <rFont val="Calibri"/>
        <family val="2"/>
        <charset val="204"/>
        <scheme val="minor"/>
      </rPr>
      <t>Акт 10/03.04.2023 г., поради изчерване на финасовия ресурс</t>
    </r>
  </si>
  <si>
    <t>%</t>
  </si>
  <si>
    <t xml:space="preserve"> нова процедура по ЗОП за СМР</t>
  </si>
  <si>
    <r>
      <t xml:space="preserve">Сума </t>
    </r>
    <r>
      <rPr>
        <sz val="11"/>
        <rFont val="Calibri"/>
        <family val="2"/>
        <charset val="204"/>
        <scheme val="minor"/>
      </rPr>
      <t>(без ДДС) по РМС 711</t>
    </r>
  </si>
  <si>
    <r>
      <rPr>
        <sz val="11"/>
        <rFont val="Calibri"/>
        <family val="2"/>
        <charset val="204"/>
        <scheme val="minor"/>
      </rPr>
      <t>№ 49/31.03.2022г.; Заповед № 14/25.05.2022 г.</t>
    </r>
    <r>
      <rPr>
        <sz val="10"/>
        <rFont val="Calibri"/>
        <family val="2"/>
        <charset val="204"/>
        <scheme val="minor"/>
      </rPr>
      <t xml:space="preserve"> за допълване и промяна в километричното положение на етапите</t>
    </r>
  </si>
  <si>
    <t>СМР, АН, СН</t>
  </si>
  <si>
    <t>Процедурата за СМР се обжалва.</t>
  </si>
  <si>
    <t>процедурата се обжалва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</si>
</sst>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16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1" fillId="4" borderId="0" applyNumberFormat="0" applyBorder="0" applyAlignment="0" applyProtection="0"/>
  </cellStyleXfs>
  <cellXfs count="70">
    <xf numFmtId="0" fontId="0" fillId="0" borderId="0" xfId="0"/>
    <xf numFmtId="0" fontId="1" fillId="3" borderId="1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/>
    <xf numFmtId="0" fontId="0" fillId="3" borderId="0" xfId="0" applyFill="1"/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/>
    <xf numFmtId="4" fontId="0" fillId="3" borderId="0" xfId="0" applyNumberFormat="1" applyFill="1"/>
    <xf numFmtId="4" fontId="0" fillId="0" borderId="0" xfId="0" applyNumberForma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0" fillId="5" borderId="0" xfId="0" applyFill="1"/>
    <xf numFmtId="0" fontId="10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1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4" fillId="0" borderId="1" xfId="0" applyFont="1" applyBorder="1"/>
    <xf numFmtId="0" fontId="6" fillId="0" borderId="1" xfId="0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/>
    <xf numFmtId="4" fontId="4" fillId="0" borderId="1" xfId="0" applyNumberFormat="1" applyFont="1" applyBorder="1"/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4" fillId="0" borderId="1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3">
    <cellStyle name="Good" xfId="2" builtinId="26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ViK_3_1\2.%20&#1041;&#1070;&#1044;&#1046;&#1045;&#1058;\4.%20&#1057;&#1087;&#1086;&#1088;&#1072;&#1079;&#1091;&#1084;&#1077;&#1085;&#1080;&#1103;\2022\RMS%2027.09.2022\&#1057;&#1087;&#1080;&#1089;&#1098;&#1082;_&#1086;&#1073;&#1077;&#1082;&#1090;&#1080;_&#1083;&#1080;&#1085;&#1077;&#1081;&#1085;&#1072;_&#1080;&#1085;&#1092;&#1088;&#1072;&#1089;&#1090;&#1088;&#1091;&#1082;&#1090;&#1091;&#1088;&#1072;_&#1087;&#1086;&#1084;&#1086;&#1097;&#1085;&#1072;%20&#1080;&#1084;&#1077;&#1081;&#1083;&#1080;_2909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ък към доклад"/>
      <sheetName val="Общински пътища"/>
      <sheetName val="Улична мрежа"/>
      <sheetName val="ВиК инфраструктура"/>
      <sheetName val="Общи суми"/>
    </sheetNames>
    <sheetDataSet>
      <sheetData sheetId="0" refreshError="1">
        <row r="148">
          <cell r="C148">
            <v>1</v>
          </cell>
          <cell r="D148">
            <v>7301</v>
          </cell>
          <cell r="E148" t="str">
            <v>Антон</v>
          </cell>
          <cell r="F148" t="str">
            <v>София област</v>
          </cell>
          <cell r="G148" t="str">
            <v>Реконструкция на довеждащ водопровод за село Антон, община Антон</v>
          </cell>
          <cell r="I148" t="str">
            <v>ВиК</v>
          </cell>
        </row>
        <row r="149">
          <cell r="C149">
            <v>2</v>
          </cell>
          <cell r="D149">
            <v>6101</v>
          </cell>
          <cell r="E149" t="str">
            <v>Априлци</v>
          </cell>
          <cell r="F149" t="str">
            <v>Ловеч</v>
          </cell>
          <cell r="G149" t="str">
            <v>Реконструкция на част от водопроводна мрежа на гр. Априлци, етап 4 "Реконструкция на водопроводна мрежа по ул. "Васил Левски", кв. Ново село, ул. "Зора", кв. Зла река</v>
          </cell>
          <cell r="I149" t="str">
            <v>ВиК</v>
          </cell>
        </row>
        <row r="150">
          <cell r="C150">
            <v>3</v>
          </cell>
          <cell r="D150">
            <v>6601</v>
          </cell>
          <cell r="E150" t="str">
            <v>Асеновград</v>
          </cell>
          <cell r="F150" t="str">
            <v>Пловдив</v>
          </cell>
          <cell r="G150" t="str">
            <v>Изграждане на водопровод и канализация в нов квартал „Баделема“ - I етап</v>
          </cell>
          <cell r="I150" t="str">
            <v>ВиК</v>
          </cell>
        </row>
        <row r="151">
          <cell r="C151">
            <v>4</v>
          </cell>
          <cell r="D151">
            <v>5801</v>
          </cell>
          <cell r="E151" t="str">
            <v>Балчик</v>
          </cell>
          <cell r="F151" t="str">
            <v>Добрич</v>
          </cell>
          <cell r="G151" t="str">
            <v>„Разширение и рехабилитация на водопроводната и канализационна мрежа в с.Кранево"</v>
          </cell>
          <cell r="I151" t="str">
            <v>ВиК</v>
          </cell>
        </row>
        <row r="152">
          <cell r="C152">
            <v>5</v>
          </cell>
          <cell r="D152">
            <v>6302</v>
          </cell>
          <cell r="E152" t="str">
            <v>Белово</v>
          </cell>
          <cell r="F152" t="str">
            <v>Пазарджик</v>
          </cell>
          <cell r="G152" t="str">
            <v>Реконструкция и рехабилитация на вътрешна водопроводна мрежа в гр. Белово, община Белово, област Пазарджик</v>
          </cell>
          <cell r="I152" t="str">
            <v>ВиК</v>
          </cell>
        </row>
        <row r="153">
          <cell r="C153">
            <v>6</v>
          </cell>
          <cell r="D153">
            <v>5501</v>
          </cell>
          <cell r="E153" t="str">
            <v>Белоградчик</v>
          </cell>
          <cell r="F153" t="str">
            <v>Видин</v>
          </cell>
          <cell r="G153" t="str">
            <v>Реконструкция на част от вътрешната водопроводна мрежа на град Белоградчик ”</v>
          </cell>
          <cell r="I153" t="str">
            <v>ВиК</v>
          </cell>
        </row>
        <row r="154">
          <cell r="C154">
            <v>7</v>
          </cell>
          <cell r="D154">
            <v>5103</v>
          </cell>
          <cell r="E154" t="str">
            <v>Благоевград</v>
          </cell>
          <cell r="F154" t="str">
            <v>Благоевград</v>
          </cell>
          <cell r="G154" t="str">
            <v>Благоустрояване на улица „Промишлена“, Благоевград -  част ВиК</v>
          </cell>
          <cell r="I154" t="str">
            <v>ВиК</v>
          </cell>
        </row>
        <row r="155">
          <cell r="C155">
            <v>8</v>
          </cell>
          <cell r="D155">
            <v>6001</v>
          </cell>
          <cell r="E155" t="str">
            <v>Бобовдол</v>
          </cell>
          <cell r="F155" t="str">
            <v>Кюстендил</v>
          </cell>
          <cell r="G155" t="str">
            <v>Реконструкция и рехабилитация на водопроводната мрежа в кв. "Миньор" и ул. "Св. Спас", гр. Бобов дол, общ. Бобов дол</v>
          </cell>
          <cell r="I155" t="str">
            <v>ВиК</v>
          </cell>
        </row>
        <row r="156">
          <cell r="C156">
            <v>9</v>
          </cell>
          <cell r="D156">
            <v>6202</v>
          </cell>
          <cell r="E156" t="str">
            <v>Бойчиновци</v>
          </cell>
          <cell r="F156" t="str">
            <v>Монтана</v>
          </cell>
          <cell r="G156" t="str">
            <v>"Реконструкция на част от водопроводната мрежа на село Лехчево"- втори етап</v>
          </cell>
          <cell r="I156" t="str">
            <v>ВиК</v>
          </cell>
        </row>
        <row r="157">
          <cell r="C157">
            <v>10</v>
          </cell>
          <cell r="D157">
            <v>7102</v>
          </cell>
          <cell r="E157" t="str">
            <v>Борино</v>
          </cell>
          <cell r="F157" t="str">
            <v>Смолян</v>
          </cell>
          <cell r="G157" t="str">
            <v>Реконструкция на външен етернитов водопровод от планинско водохващане на р. Аджиларска до ПСПВ на с. Ягодина</v>
          </cell>
          <cell r="I157" t="str">
            <v>ВиК</v>
          </cell>
        </row>
        <row r="158">
          <cell r="C158">
            <v>11</v>
          </cell>
          <cell r="D158">
            <v>5601</v>
          </cell>
          <cell r="E158" t="str">
            <v>Борован</v>
          </cell>
          <cell r="F158" t="str">
            <v>Враца</v>
          </cell>
          <cell r="G158" t="str">
            <v>Реконструкция на част от водопроводната мрежа на с.Борован</v>
          </cell>
          <cell r="I158" t="str">
            <v>ВиК</v>
          </cell>
        </row>
        <row r="159">
          <cell r="C159">
            <v>12</v>
          </cell>
          <cell r="D159">
            <v>7303</v>
          </cell>
          <cell r="E159" t="str">
            <v>Ботевград</v>
          </cell>
          <cell r="F159" t="str">
            <v>София област</v>
          </cell>
          <cell r="G159" t="str">
            <v>„Реконструкция на водопроводната система в с. Трудовец, община Ботевград“</v>
          </cell>
          <cell r="I159" t="str">
            <v>ВиК</v>
          </cell>
        </row>
        <row r="160">
          <cell r="C160">
            <v>13</v>
          </cell>
          <cell r="D160">
            <v>6203</v>
          </cell>
          <cell r="E160" t="str">
            <v>Брусарци</v>
          </cell>
          <cell r="F160" t="str">
            <v>Монтана</v>
          </cell>
          <cell r="G160" t="str">
            <v>Водоснабдяване на с. Дъбова махала, община Брусарци - Външна и вътрешна водопроводна мрежа</v>
          </cell>
          <cell r="I160" t="str">
            <v>ВиК</v>
          </cell>
        </row>
        <row r="161">
          <cell r="C161">
            <v>14</v>
          </cell>
          <cell r="D161">
            <v>5304</v>
          </cell>
          <cell r="E161" t="str">
            <v xml:space="preserve">Бяла </v>
          </cell>
          <cell r="F161" t="str">
            <v>Варна</v>
          </cell>
          <cell r="G161" t="str">
            <v>Реконструкция и доизграждане на вътрешна водопроводна мрежа на с. Горица</v>
          </cell>
          <cell r="I161" t="str">
            <v>ВиК</v>
          </cell>
        </row>
        <row r="162">
          <cell r="C162">
            <v>15</v>
          </cell>
          <cell r="D162">
            <v>5602</v>
          </cell>
          <cell r="E162" t="str">
            <v>Бяла Слатина</v>
          </cell>
          <cell r="F162" t="str">
            <v>Враца</v>
          </cell>
          <cell r="G162" t="str">
            <v>Реконструкция и изграждане на нови участъци на част от ВВМ на с. Попица, общ. Бяла Слатина</v>
          </cell>
          <cell r="I162" t="str">
            <v>ВиК</v>
          </cell>
        </row>
        <row r="163">
          <cell r="C163">
            <v>16</v>
          </cell>
          <cell r="D163">
            <v>5401</v>
          </cell>
          <cell r="E163" t="str">
            <v>Велико Търново</v>
          </cell>
          <cell r="F163" t="str">
            <v>Велико Търново</v>
          </cell>
          <cell r="G163" t="str">
            <v xml:space="preserve">Строителство и реконструкция на ВиК инфраструктура в гр. Велико Търново по подобекти:
Подобект 1:  „Строителство и реконструкция на канализационен колектор, напорен тръбопровод  по ул. Опълченска, гр. Велико Търново“.
Подобект 2: "Строителство и реконструкция на водопроводни и канализационни колектори по ул. "Теодосий Търновски", ул. "Димитър Найденов" и ул. "Сливница"- гр. Велико Търново"
Подобект 3:   „Строителство и реконструкция на уличен водопровод по ул. „Ксилифорска“, гр. Велико Търново“.
</v>
          </cell>
          <cell r="I163" t="str">
            <v>ВиК</v>
          </cell>
        </row>
        <row r="164">
          <cell r="C164">
            <v>17</v>
          </cell>
          <cell r="D164">
            <v>6204</v>
          </cell>
          <cell r="E164" t="str">
            <v>Вълчедръм</v>
          </cell>
          <cell r="F164" t="str">
            <v>Монтана</v>
          </cell>
          <cell r="G164" t="str">
            <v>Реконструкция на вътрешна водопроводна мрежа на гр. Вълчедръм</v>
          </cell>
          <cell r="I164" t="str">
            <v>ВиК</v>
          </cell>
        </row>
        <row r="165">
          <cell r="C165">
            <v>18</v>
          </cell>
          <cell r="D165">
            <v>5307</v>
          </cell>
          <cell r="F165" t="str">
            <v>Варна</v>
          </cell>
          <cell r="G165" t="str">
            <v>Разширение на канализационната и реконструкция на водопроводната мрежа на гр. Вълчи дол, обл. Варна, съдържащ следните подобекти: 1 - 2 ETAП Водопровод и канализация по ул. "Алеко Константинов" / о.т. 215-о.т. 9204 - о.т. 175/ - 364 658,93 лв.; 1 - 3 ЕТАП Водопровод и канализация по ул. "Росица" /о.т. 149 - о.т. 65/ - 216 681,56 лв.</v>
          </cell>
          <cell r="I165" t="str">
            <v>ВиК</v>
          </cell>
        </row>
        <row r="166">
          <cell r="C166">
            <v>19</v>
          </cell>
          <cell r="D166">
            <v>7703</v>
          </cell>
          <cell r="E166" t="str">
            <v>Върбица</v>
          </cell>
          <cell r="F166" t="str">
            <v>Шумен</v>
          </cell>
          <cell r="G166" t="str">
            <v>„Реконструкция на съществуващ довеждащ водопровод от местността „Рибника” до с.Тушовица”</v>
          </cell>
          <cell r="I166" t="str">
            <v>ВиК</v>
          </cell>
        </row>
        <row r="167">
          <cell r="C167">
            <v>20</v>
          </cell>
          <cell r="D167">
            <v>6205</v>
          </cell>
          <cell r="E167" t="str">
            <v>Вършец</v>
          </cell>
          <cell r="F167" t="str">
            <v>Монтана</v>
          </cell>
          <cell r="G167" t="str">
            <v>Реконструкция на водопровод и обновяване на ул. „Република“ от ОТ 270 до ОТ 358“ втори етап - Реконструкция на водопровод и обновяване на ул. „Република“ от ОТ 315 до ОТ 358, гр. Вършец“ - част ВиК</v>
          </cell>
          <cell r="I167" t="str">
            <v>ВиК</v>
          </cell>
        </row>
        <row r="168">
          <cell r="C168">
            <v>21</v>
          </cell>
          <cell r="D168">
            <v>5701</v>
          </cell>
          <cell r="E168" t="str">
            <v>Габрово</v>
          </cell>
          <cell r="F168" t="str">
            <v>Габрово</v>
          </cell>
          <cell r="G168" t="str">
            <v>Реконструкция на водопровод и канализация по ул. „Златна нива“ и ул. „Зелена ливада“</v>
          </cell>
          <cell r="I168" t="str">
            <v>ВиК</v>
          </cell>
        </row>
        <row r="169">
          <cell r="C169">
            <v>22</v>
          </cell>
          <cell r="D169">
            <v>6206</v>
          </cell>
          <cell r="E169" t="str">
            <v>Георги Дамяново</v>
          </cell>
          <cell r="F169" t="str">
            <v>Монтана</v>
          </cell>
          <cell r="G169" t="str">
            <v>"Подмяна на водопровод по ул. "Първа" с. Каменна Рикса, Община Георги Дамяново"</v>
          </cell>
          <cell r="I169" t="str">
            <v>ВиК</v>
          </cell>
        </row>
        <row r="170">
          <cell r="C170">
            <v>23</v>
          </cell>
          <cell r="D170">
            <v>5104</v>
          </cell>
          <cell r="E170" t="str">
            <v>Гоце Делчев</v>
          </cell>
          <cell r="F170" t="str">
            <v>Благоевград</v>
          </cell>
          <cell r="G170" t="str">
            <v>"Смяна на водопроводната мрежа по улици в югозападната част, включени в интегрирания план за градско възстановяване и развитие на гр. Гоце Делчев"</v>
          </cell>
          <cell r="I170" t="str">
            <v>ВиК</v>
          </cell>
        </row>
        <row r="171">
          <cell r="C171">
            <v>24</v>
          </cell>
          <cell r="D171">
            <v>5505</v>
          </cell>
          <cell r="E171" t="str">
            <v>Грамада</v>
          </cell>
          <cell r="F171" t="str">
            <v>Видин</v>
          </cell>
          <cell r="G171" t="str">
            <v>Реконструкция външен водопровод на гр. Грамада - от помпена станция "Бояново" до напорен резервоар "Грамада"</v>
          </cell>
          <cell r="I171" t="str">
            <v>ВиК</v>
          </cell>
        </row>
        <row r="172">
          <cell r="C172">
            <v>25</v>
          </cell>
          <cell r="D172">
            <v>7402</v>
          </cell>
          <cell r="E172" t="str">
            <v>Гурково</v>
          </cell>
          <cell r="F172" t="str">
            <v>Стара Загора</v>
          </cell>
          <cell r="G172" t="str">
            <v>Реконструкция на вътрешна водопроводна мрежа на с.Паничерево, община Гурково - втори етап</v>
          </cell>
          <cell r="I172" t="str">
            <v>ВиК</v>
          </cell>
        </row>
        <row r="173">
          <cell r="C173">
            <v>26</v>
          </cell>
          <cell r="D173">
            <v>7103</v>
          </cell>
          <cell r="E173" t="str">
            <v>Девин</v>
          </cell>
          <cell r="F173" t="str">
            <v>Смолян</v>
          </cell>
          <cell r="G173" t="str">
            <v>"Изграждане, реконструкция и рехабилитация на външна и вътрешна водоснабдителна система и съоръжения в кв. Настан, гр. Девин - етап 1"</v>
          </cell>
          <cell r="I173" t="str">
            <v>ВиК</v>
          </cell>
        </row>
        <row r="174">
          <cell r="C174">
            <v>27</v>
          </cell>
          <cell r="D174">
            <v>5803</v>
          </cell>
          <cell r="E174" t="str">
            <v>Добрич</v>
          </cell>
          <cell r="F174" t="str">
            <v>Добрич</v>
          </cell>
          <cell r="G174" t="str">
            <v>"Битова канaлизация в кв."Рилци", гр. Добрич" - етапи II, III, IV</v>
          </cell>
          <cell r="I174" t="str">
            <v>ВиК</v>
          </cell>
        </row>
        <row r="175">
          <cell r="C175">
            <v>28</v>
          </cell>
          <cell r="D175">
            <v>5804</v>
          </cell>
          <cell r="E175" t="str">
            <v>Добричка</v>
          </cell>
          <cell r="F175" t="str">
            <v>Добрич</v>
          </cell>
          <cell r="G175" t="str">
            <v>Строителство на обект: Рехабилитация на водопровод по ул. "Първа" с. Бранище</v>
          </cell>
          <cell r="I175" t="str">
            <v>ВиК</v>
          </cell>
        </row>
        <row r="176">
          <cell r="C176">
            <v>29</v>
          </cell>
          <cell r="D176">
            <v>6503</v>
          </cell>
          <cell r="E176" t="str">
            <v>Долна Митрополия</v>
          </cell>
          <cell r="F176" t="str">
            <v>Плевен</v>
          </cell>
          <cell r="G176" t="str">
            <v>Изграждане на нов водопровод за допълнително водоснабдяване на гр. Тръстеник от съществуваща помпена станция в местността Ченгене сарай в землището на с. Ореховица до напорен резервоар в землището на гр. Тръстеник, община Долна Митрополия</v>
          </cell>
          <cell r="I176" t="str">
            <v>ВиК</v>
          </cell>
        </row>
        <row r="177">
          <cell r="C177">
            <v>30</v>
          </cell>
          <cell r="D177">
            <v>6504</v>
          </cell>
          <cell r="E177" t="str">
            <v>Долни Дъбник</v>
          </cell>
          <cell r="F177" t="str">
            <v>Плевен</v>
          </cell>
          <cell r="G177" t="str">
            <v>Реконструкция на водопроводната мрежа в село Горни Дъбник – първи етап</v>
          </cell>
          <cell r="I177" t="str">
            <v>ВиК</v>
          </cell>
        </row>
        <row r="178">
          <cell r="C178">
            <v>31</v>
          </cell>
          <cell r="D178">
            <v>7104</v>
          </cell>
          <cell r="E178" t="str">
            <v>Доспат</v>
          </cell>
          <cell r="F178" t="str">
            <v>Смолян</v>
          </cell>
          <cell r="G178" t="str">
            <v>Подмяна на водопровод и канализация по улици в гр. Доспат, област Смолян.</v>
          </cell>
          <cell r="I178" t="str">
            <v>ВиК</v>
          </cell>
        </row>
        <row r="179">
          <cell r="C179">
            <v>32</v>
          </cell>
          <cell r="D179">
            <v>7307</v>
          </cell>
          <cell r="E179" t="str">
            <v>Драгоман</v>
          </cell>
          <cell r="F179" t="str">
            <v>София област</v>
          </cell>
          <cell r="G179" t="str">
            <v xml:space="preserve"> „Реконструкция и доизграждане на част от канализационната, водопроводната и уличната мрежа в гр. Драгоман, община Драгоман“ - част ВиК</v>
          </cell>
          <cell r="I179" t="str">
            <v>ВиК</v>
          </cell>
        </row>
        <row r="180">
          <cell r="C180">
            <v>33</v>
          </cell>
          <cell r="D180">
            <v>5310</v>
          </cell>
          <cell r="E180" t="str">
            <v>Дългопол</v>
          </cell>
          <cell r="F180" t="str">
            <v>Варна</v>
          </cell>
          <cell r="G180" t="str">
            <v>Изграждане на захранващ водопровод по ул. Антон Иванов и ул. Хр. Ботев в гр. Дългопол</v>
          </cell>
          <cell r="I180" t="str">
            <v>ВиК</v>
          </cell>
        </row>
        <row r="181">
          <cell r="C181">
            <v>34</v>
          </cell>
          <cell r="D181">
            <v>5403</v>
          </cell>
          <cell r="E181" t="str">
            <v>Елена</v>
          </cell>
          <cell r="F181" t="str">
            <v>Велико Търново</v>
          </cell>
          <cell r="G181" t="str">
            <v>Реконструкция на вътрешна водопроводна мрежа в гр. Елена, ул. Иван Момчилов и прилежащи към нея клонове и улици</v>
          </cell>
          <cell r="I181" t="str">
            <v>ВиК</v>
          </cell>
        </row>
        <row r="182">
          <cell r="C182">
            <v>35</v>
          </cell>
          <cell r="D182">
            <v>7309</v>
          </cell>
          <cell r="E182" t="str">
            <v>Етрополе</v>
          </cell>
          <cell r="F182" t="str">
            <v>София област</v>
          </cell>
          <cell r="G182" t="str">
            <v>Реконструкция на участъци от улични водопроводни клонове на територията на гр. Етрополе, община Етрополе – Етап 2 и Етап 3</v>
          </cell>
          <cell r="I182" t="str">
            <v>ВиК</v>
          </cell>
        </row>
        <row r="183">
          <cell r="C183">
            <v>36</v>
          </cell>
          <cell r="D183">
            <v>6402</v>
          </cell>
          <cell r="E183" t="str">
            <v>Земен</v>
          </cell>
          <cell r="F183" t="str">
            <v>Перник</v>
          </cell>
          <cell r="G183" t="str">
            <v>Реконструкция на вътрешна водопроводна мрежа в гр. Земен</v>
          </cell>
          <cell r="I183" t="str">
            <v>ВиК</v>
          </cell>
        </row>
        <row r="184">
          <cell r="C184">
            <v>37</v>
          </cell>
          <cell r="D184">
            <v>7602</v>
          </cell>
          <cell r="E184" t="str">
            <v>Ивайловград</v>
          </cell>
          <cell r="F184" t="str">
            <v>Хасково</v>
          </cell>
          <cell r="G184" t="str">
            <v>Реконструкция и подмяна на магистрален външен водопровод от изпускателна шахта № 1, находяща се в ПИ 32024.2.784 до водоем - 2000 куб. м., находящ се в ПИ 32024.66.583 гр. Ивайловград</v>
          </cell>
          <cell r="I184" t="str">
            <v>ВиК</v>
          </cell>
        </row>
        <row r="185">
          <cell r="C185">
            <v>38</v>
          </cell>
          <cell r="D185">
            <v>7311</v>
          </cell>
          <cell r="E185" t="str">
            <v>Ихтиман</v>
          </cell>
          <cell r="F185" t="str">
            <v>София област</v>
          </cell>
          <cell r="G185" t="str">
            <v xml:space="preserve">Реконструкция на 9 км., част от довеждащия водопровод Габра - Вакарел, разположен на територията на община Ихтиман </v>
          </cell>
          <cell r="I185" t="str">
            <v>ВиК</v>
          </cell>
        </row>
        <row r="186">
          <cell r="C186">
            <v>39</v>
          </cell>
          <cell r="D186">
            <v>7404</v>
          </cell>
          <cell r="E186" t="str">
            <v xml:space="preserve">Казанлък </v>
          </cell>
          <cell r="F186" t="str">
            <v>Стара Загора</v>
          </cell>
          <cell r="G186" t="str">
            <v>"Изграждане на ВиК инфраструктура за територията на град Крън, I етап на строителство, III подетап" - Доизграждане на Гл. колектор I - от о.к. 244 до о.к. 12 с второстепенна канализационна мрежа към него за квартали 92, 93, 40, 80, 79, 78, 77, 76, 75, 74, 73, 39, 38"</v>
          </cell>
          <cell r="I186" t="str">
            <v>ВиК</v>
          </cell>
        </row>
        <row r="187">
          <cell r="C187">
            <v>40</v>
          </cell>
          <cell r="D187">
            <v>6904</v>
          </cell>
          <cell r="E187" t="str">
            <v>Кайнарджа</v>
          </cell>
          <cell r="F187" t="str">
            <v>Силистра</v>
          </cell>
          <cell r="G187" t="str">
            <v>Реконструкция и доизграждане на част от водоснабдителните системи и съоръжения в осем населени места. Подобект: Новопроектирана водопроводна мрежа с. Добруджанка, община Кайнарджа</v>
          </cell>
          <cell r="I187" t="str">
            <v>ВиК</v>
          </cell>
        </row>
        <row r="188">
          <cell r="C188">
            <v>41</v>
          </cell>
          <cell r="D188">
            <v>6603</v>
          </cell>
          <cell r="E188" t="str">
            <v>Калояново</v>
          </cell>
          <cell r="F188" t="str">
            <v>Пловдив</v>
          </cell>
          <cell r="G188" t="str">
            <v>Подмяна на съществуващ уличен водопровод по ул. „Петър Берон“, ул. Цанко Церковски“, ул. „Васил Левски“ в участъците о. т. 218-213-212-211-209-210-161-159-160-154-153-151-114-101-100-69-73-74, с. Калояново, общ. Калояново“</v>
          </cell>
          <cell r="I188" t="str">
            <v>ВиК</v>
          </cell>
        </row>
        <row r="189">
          <cell r="C189">
            <v>42</v>
          </cell>
          <cell r="D189">
            <v>7704</v>
          </cell>
          <cell r="E189" t="str">
            <v>Каолиново</v>
          </cell>
          <cell r="F189" t="str">
            <v>Шумен</v>
          </cell>
          <cell r="G189" t="str">
            <v>Реконструкция на водоснабдителна система "Тодор Икономово"</v>
          </cell>
          <cell r="I189" t="str">
            <v>ВиК</v>
          </cell>
        </row>
        <row r="190">
          <cell r="C190">
            <v>43</v>
          </cell>
          <cell r="D190">
            <v>6604</v>
          </cell>
          <cell r="E190" t="str">
            <v>Карлово</v>
          </cell>
          <cell r="F190" t="str">
            <v>Пловдив</v>
          </cell>
          <cell r="G190" t="str">
            <v>Рехабилитация и реконструкция на част общински път PDV 1360 от и водопроводна мрежа в населените места - част ВиК</v>
          </cell>
          <cell r="I190" t="str">
            <v>ВиК</v>
          </cell>
        </row>
        <row r="191">
          <cell r="C191">
            <v>44</v>
          </cell>
          <cell r="D191">
            <v>6604</v>
          </cell>
          <cell r="E191" t="str">
            <v>Карлово</v>
          </cell>
          <cell r="F191" t="str">
            <v>Пловдив</v>
          </cell>
          <cell r="G191" t="str">
            <v>Рехабилитация и реконструкция на част от общински път - PDV 1290 и водопроводна мрежа в с.Московец, община Карлово - част ВиК</v>
          </cell>
          <cell r="I191" t="str">
            <v>ВиК</v>
          </cell>
        </row>
        <row r="192">
          <cell r="C192">
            <v>45</v>
          </cell>
          <cell r="D192">
            <v>7705</v>
          </cell>
          <cell r="E192" t="str">
            <v>Каспичан</v>
          </cell>
          <cell r="F192" t="str">
            <v>Шумен</v>
          </cell>
          <cell r="I192" t="str">
            <v>ВиК</v>
          </cell>
        </row>
        <row r="193">
          <cell r="C193">
            <v>46</v>
          </cell>
          <cell r="D193">
            <v>6511</v>
          </cell>
          <cell r="E193" t="str">
            <v>Кнежа</v>
          </cell>
          <cell r="F193" t="str">
            <v>Плевен</v>
          </cell>
          <cell r="G193" t="str">
            <v>„РЕКОНСТУКЦИЯ НА ВОДОПРОВОДНА МРЕЖА НА СЕЛО БРЕНИЦА, ОБЩИНА КНЕЖА“- Етап 2: Първи подетап: Гл. клон II DN110 - 1379 м.; клон 16 DN90-208 м.; клон 18 DN90-217 м.; клон 23 DN90-457 м.; клон 25 DN90-488 м.; клон 26 DN90-234 м.; клон 27 DN90-204 м.; клон 28 DN90-121 м.; клон 29 DN90-680 м.; клон 30 DN90-274 м.; клон 31 DN90-258 м.; клон 32 DN90-274 м.; клон 33 DN90-278 м.; клон 34 DN90-178 м.; клон 38 DN90-140 м.; клон 39 DN90-220 м.; клон 47 DN90-22 м.; клон 55 DN90-215 м.</v>
          </cell>
          <cell r="I193" t="str">
            <v>ВиК</v>
          </cell>
        </row>
        <row r="194">
          <cell r="C194">
            <v>47</v>
          </cell>
          <cell r="D194">
            <v>7312</v>
          </cell>
          <cell r="E194" t="str">
            <v>Копривщица</v>
          </cell>
          <cell r="F194" t="str">
            <v>София област</v>
          </cell>
          <cell r="G194" t="str">
            <v>Подмяна на водопровод и канализация на бул. „Хаджи Ненчо Палавеев“ -Източен и Западен бряг на река Тополница</v>
          </cell>
          <cell r="I194" t="str">
            <v>ВиК</v>
          </cell>
        </row>
        <row r="195">
          <cell r="C195">
            <v>48</v>
          </cell>
          <cell r="D195">
            <v>7313</v>
          </cell>
          <cell r="E195" t="str">
            <v>Костенец</v>
          </cell>
          <cell r="F195" t="str">
            <v>София област</v>
          </cell>
          <cell r="G195" t="str">
            <v>Реконструкция и подмяна на главен довеждащ водопровод от водохващане Чавча и Крайна до напорни резервоари висока и ниска зони на гр. Костенец, община Костенец</v>
          </cell>
          <cell r="I195" t="str">
            <v>ВиК</v>
          </cell>
        </row>
        <row r="196">
          <cell r="C196">
            <v>49</v>
          </cell>
          <cell r="D196">
            <v>5806</v>
          </cell>
          <cell r="E196" t="str">
            <v>Крушари</v>
          </cell>
          <cell r="F196" t="str">
            <v>Добрич</v>
          </cell>
          <cell r="G196" t="str">
            <v>Реконструкция на помпена станция и резервоари и подмяна на довеждащи водопроводи към с. Лозенец и с. Северци, община Крушари</v>
          </cell>
          <cell r="I196" t="str">
            <v>ВиК</v>
          </cell>
        </row>
        <row r="197">
          <cell r="C197">
            <v>50</v>
          </cell>
          <cell r="D197">
            <v>5905</v>
          </cell>
          <cell r="E197" t="str">
            <v xml:space="preserve">Кърджали </v>
          </cell>
          <cell r="F197" t="str">
            <v>Кърджали</v>
          </cell>
          <cell r="G197" t="str">
            <v>„Хранителен (довеждащ) водопровод и вътрешна водопроводна мрежа за с. Черна скала” община Кърджали</v>
          </cell>
          <cell r="I197" t="str">
            <v>ВиК</v>
          </cell>
        </row>
        <row r="198">
          <cell r="C198">
            <v>51</v>
          </cell>
          <cell r="D198">
            <v>6506</v>
          </cell>
          <cell r="E198" t="str">
            <v>Левски</v>
          </cell>
          <cell r="F198" t="str">
            <v>Плевен</v>
          </cell>
          <cell r="G198" t="str">
            <v>Реконструкция водопроводна мрежа Тласкател от П.СТ. "Асеновци 2" до Ж.П.линия гр. Левски</v>
          </cell>
          <cell r="I198" t="str">
            <v>ВиК</v>
          </cell>
        </row>
        <row r="199">
          <cell r="C199">
            <v>52</v>
          </cell>
          <cell r="D199">
            <v>6305</v>
          </cell>
          <cell r="E199" t="str">
            <v>Лесичево</v>
          </cell>
          <cell r="F199" t="str">
            <v>Пазарджик</v>
          </cell>
          <cell r="G199" t="str">
            <v>"Доизграждане на вътрешната водопроводна мрежа на с. Лесичово, общ.Лесичово“</v>
          </cell>
          <cell r="I199" t="str">
            <v>ВиК</v>
          </cell>
        </row>
        <row r="200">
          <cell r="C200">
            <v>53</v>
          </cell>
          <cell r="D200">
            <v>6102</v>
          </cell>
          <cell r="E200" t="str">
            <v>Летница</v>
          </cell>
          <cell r="F200" t="str">
            <v>Ловеч</v>
          </cell>
          <cell r="G200" t="str">
            <v>Реконструкция на вътрешна водопроводна мрежа - гр.Летница /Етапно строителство/ - 13 етапа</v>
          </cell>
          <cell r="I200" t="str">
            <v>ВиК</v>
          </cell>
        </row>
        <row r="201">
          <cell r="C201">
            <v>54</v>
          </cell>
          <cell r="D201">
            <v>6103</v>
          </cell>
          <cell r="E201" t="str">
            <v>Ловеч</v>
          </cell>
          <cell r="F201" t="str">
            <v>Ловеч</v>
          </cell>
          <cell r="G201" t="str">
            <v xml:space="preserve">„Реконструкция на ВиК мрежа в Община Ловеч“, обособена позиция № 1 „Реконструкция на ВиК мрежа на ж.к. „Младост“, гр. Ловеч – водопровод с Разрешение за строеж № 54/15.06.2017 г. </v>
          </cell>
          <cell r="I201" t="str">
            <v>ВиК</v>
          </cell>
        </row>
        <row r="202">
          <cell r="C202">
            <v>55</v>
          </cell>
          <cell r="D202">
            <v>6207</v>
          </cell>
          <cell r="E202" t="str">
            <v>Лом</v>
          </cell>
          <cell r="F202" t="str">
            <v>Монтана</v>
          </cell>
          <cell r="G202" t="str">
            <v xml:space="preserve">Авариен ремонт на напорен тръбопровод от ПС "Добри дол" до НР V 300 м³ </v>
          </cell>
          <cell r="I202" t="str">
            <v>ВиК</v>
          </cell>
        </row>
        <row r="203">
          <cell r="C203">
            <v>56</v>
          </cell>
          <cell r="D203">
            <v>8890</v>
          </cell>
          <cell r="E203" t="str">
            <v>Любимец</v>
          </cell>
          <cell r="F203" t="str">
            <v>Хасково</v>
          </cell>
          <cell r="G203" t="str">
            <v>Доизграждане, реконструкция и рехабилитация на участъци от канализационната мрежа на гр. Любимец</v>
          </cell>
          <cell r="I203" t="str">
            <v>ВиК</v>
          </cell>
        </row>
        <row r="204">
          <cell r="C204">
            <v>57</v>
          </cell>
          <cell r="D204">
            <v>5405</v>
          </cell>
          <cell r="E204" t="str">
            <v>Лясковец</v>
          </cell>
          <cell r="F204" t="str">
            <v>Велико Търново</v>
          </cell>
          <cell r="G204" t="str">
            <v>„Реконструкция и подмяна на участъци от водопроводната мрежа на село Добри дял, Община Лясковец“</v>
          </cell>
          <cell r="I204" t="str">
            <v>ВиК</v>
          </cell>
        </row>
        <row r="205">
          <cell r="C205">
            <v>58</v>
          </cell>
          <cell r="D205">
            <v>5205</v>
          </cell>
          <cell r="E205" t="str">
            <v>Малко Търново</v>
          </cell>
          <cell r="F205" t="str">
            <v>Бургас</v>
          </cell>
          <cell r="G205" t="str">
            <v>Реконструкция на компрометирани участъци от водопроводната мрежа в с. Звездец, община Малко Търново</v>
          </cell>
          <cell r="I205" t="str">
            <v>ВиК</v>
          </cell>
        </row>
        <row r="206">
          <cell r="C206">
            <v>59</v>
          </cell>
          <cell r="D206">
            <v>6607</v>
          </cell>
          <cell r="E206" t="str">
            <v>Марица</v>
          </cell>
          <cell r="F206" t="str">
            <v>Пловдив</v>
          </cell>
          <cell r="G206" t="str">
            <v>Обект канализация на с. Трилистник - трети етап</v>
          </cell>
          <cell r="I206" t="str">
            <v>ВиК</v>
          </cell>
        </row>
        <row r="207">
          <cell r="C207">
            <v>60</v>
          </cell>
          <cell r="D207">
            <v>6208</v>
          </cell>
          <cell r="E207" t="str">
            <v>Медковец</v>
          </cell>
          <cell r="F207" t="str">
            <v>Монтана</v>
          </cell>
          <cell r="G207" t="str">
            <v>Доизграждане и реконструкция на част от водопроводна мрежа на с.Медковец- - първа част</v>
          </cell>
          <cell r="I207" t="str">
            <v>ВиК</v>
          </cell>
        </row>
        <row r="208">
          <cell r="C208">
            <v>61</v>
          </cell>
          <cell r="D208">
            <v>5607</v>
          </cell>
          <cell r="E208" t="str">
            <v>Мездра</v>
          </cell>
          <cell r="F208" t="str">
            <v>Враца</v>
          </cell>
          <cell r="G208" t="str">
            <v>Изграждане на нов довеждащ водопровод в трасето на съществуващ водопровод от каптаж „Пещта“ до с. Горна Кремена и с. Долна Кремена, община Мездра,област Враца</v>
          </cell>
          <cell r="I208" t="str">
            <v>ВиК</v>
          </cell>
        </row>
        <row r="209">
          <cell r="C209">
            <v>62</v>
          </cell>
          <cell r="D209">
            <v>5608</v>
          </cell>
          <cell r="E209" t="str">
            <v>Мизия</v>
          </cell>
          <cell r="F209" t="str">
            <v>Враца</v>
          </cell>
          <cell r="G209" t="str">
            <v>Доизграждане, реконструкция и подмяна на участъци от водопроводната мрежа на с. Софрониево, община Мизия</v>
          </cell>
          <cell r="I209" t="str">
            <v>ВиК</v>
          </cell>
        </row>
        <row r="210">
          <cell r="C210">
            <v>63</v>
          </cell>
          <cell r="D210">
            <v>7315</v>
          </cell>
          <cell r="E210" t="str">
            <v>Мирково</v>
          </cell>
          <cell r="F210" t="str">
            <v>София област</v>
          </cell>
          <cell r="G210" t="str">
            <v>Реконструкция водопроводна мрежа на село Каменица, община Мирково</v>
          </cell>
          <cell r="I210" t="str">
            <v>ВиК</v>
          </cell>
        </row>
        <row r="211">
          <cell r="C211">
            <v>64</v>
          </cell>
          <cell r="D211">
            <v>7405</v>
          </cell>
          <cell r="E211" t="str">
            <v>Мъглиж</v>
          </cell>
          <cell r="F211" t="str">
            <v>Стара Загора</v>
          </cell>
          <cell r="G211" t="str">
            <v xml:space="preserve">Реконструкция на уличен водопровод в с.Ягода, общ.Мъглиж - ІІІ етап </v>
          </cell>
          <cell r="I211" t="str">
            <v>ВиК</v>
          </cell>
        </row>
        <row r="212">
          <cell r="C212">
            <v>65</v>
          </cell>
          <cell r="D212">
            <v>5206</v>
          </cell>
          <cell r="E212" t="str">
            <v>Несебър</v>
          </cell>
          <cell r="F212" t="str">
            <v>Бургас</v>
          </cell>
          <cell r="G212" t="str">
            <v>Селищна водопроводна система на с.Гильовца ,община Несебър - 1 етап</v>
          </cell>
          <cell r="I212" t="str">
            <v>ВиК</v>
          </cell>
        </row>
        <row r="213">
          <cell r="C213">
            <v>66</v>
          </cell>
          <cell r="D213">
            <v>7002</v>
          </cell>
          <cell r="E213" t="str">
            <v>Нова Загора</v>
          </cell>
          <cell r="F213" t="str">
            <v>Сливен</v>
          </cell>
          <cell r="G213" t="str">
            <v>Реконструкция на вътрешната водопроводна мрежа и основен ремонт на ул. "Шипка" от ул. "Кънчо Чамов" до ул. "Изворна", гр. Нова Загора - част ВиК</v>
          </cell>
          <cell r="I213" t="str">
            <v>ВиК</v>
          </cell>
        </row>
        <row r="214">
          <cell r="C214">
            <v>67</v>
          </cell>
          <cell r="D214">
            <v>7502</v>
          </cell>
          <cell r="E214" t="str">
            <v>Омуртаг</v>
          </cell>
          <cell r="F214" t="str">
            <v>Търговище</v>
          </cell>
          <cell r="G214" t="str">
            <v xml:space="preserve">Цялостна реконструкция на вътрешна водопроводна мрежа
</v>
          </cell>
          <cell r="I214" t="str">
            <v>ВиК</v>
          </cell>
        </row>
        <row r="215">
          <cell r="C215">
            <v>68</v>
          </cell>
          <cell r="D215">
            <v>7407</v>
          </cell>
          <cell r="E215" t="str">
            <v>Опан</v>
          </cell>
          <cell r="F215" t="str">
            <v>Стара Загора</v>
          </cell>
          <cell r="I215" t="str">
            <v>ВиК</v>
          </cell>
        </row>
        <row r="216">
          <cell r="C216">
            <v>69</v>
          </cell>
          <cell r="D216">
            <v>5609</v>
          </cell>
          <cell r="E216" t="str">
            <v>Оряхово</v>
          </cell>
          <cell r="F216" t="str">
            <v>Враца</v>
          </cell>
          <cell r="G216" t="str">
            <v>Реконструкция и рехабилитация на водопровод в село Лесковец, общ. Оряхово</v>
          </cell>
          <cell r="I216" t="str">
            <v>ВиК</v>
          </cell>
        </row>
        <row r="217">
          <cell r="C217">
            <v>70</v>
          </cell>
          <cell r="D217">
            <v>5406</v>
          </cell>
          <cell r="E217" t="str">
            <v>Павликени</v>
          </cell>
          <cell r="F217" t="str">
            <v>Велико Търново</v>
          </cell>
          <cell r="G217" t="str">
            <v>Допълнително водоснабдяване на с. Върбовка</v>
          </cell>
          <cell r="I217" t="str">
            <v>ВиК</v>
          </cell>
        </row>
        <row r="218">
          <cell r="C218">
            <v>71</v>
          </cell>
          <cell r="D218">
            <v>6404</v>
          </cell>
          <cell r="E218" t="str">
            <v>Перник</v>
          </cell>
          <cell r="F218" t="str">
            <v>Перник</v>
          </cell>
          <cell r="G218" t="str">
            <v>Изграждане на улична водопроводна мрежа на с. Ярджиловци - II - ри етап, община Перник, с. Ярджиловци</v>
          </cell>
          <cell r="I218" t="str">
            <v>ВиК</v>
          </cell>
        </row>
        <row r="219">
          <cell r="C219">
            <v>72</v>
          </cell>
          <cell r="D219">
            <v>7316</v>
          </cell>
          <cell r="E219" t="str">
            <v>Пирдоп</v>
          </cell>
          <cell r="F219" t="str">
            <v>София област</v>
          </cell>
          <cell r="G219" t="str">
            <v>Реконструкция на част от водопроводна и канализационната мрежа на гр. Пирдоп</v>
          </cell>
          <cell r="I219" t="str">
            <v>ВиК</v>
          </cell>
        </row>
        <row r="220">
          <cell r="C220">
            <v>73</v>
          </cell>
          <cell r="D220">
            <v>7317</v>
          </cell>
          <cell r="E220" t="str">
            <v>Правец</v>
          </cell>
          <cell r="F220" t="str">
            <v>София област</v>
          </cell>
          <cell r="G220" t="str">
            <v>Реконструкция и модернизация на ПСОВ с извън площадкова довеждаща инфраструктура, доизграждане и реконструкция на канализационна мрежа с реконструкция на съпътстваща водопроводна мрежа на гр. Правец, подобекти: Етап V и Етап VI</v>
          </cell>
          <cell r="I220" t="str">
            <v>ВиК</v>
          </cell>
        </row>
        <row r="221">
          <cell r="C221">
            <v>74</v>
          </cell>
          <cell r="D221">
            <v>6405</v>
          </cell>
          <cell r="E221" t="str">
            <v>Радомир</v>
          </cell>
          <cell r="F221" t="str">
            <v>Перник</v>
          </cell>
          <cell r="G221" t="str">
            <v>Ремонт и реконструкция на вътрешна водопроводна мрежа в с. Извор, община Радомир, област Перник</v>
          </cell>
          <cell r="I221" t="str">
            <v>ВиК</v>
          </cell>
        </row>
        <row r="222">
          <cell r="C222">
            <v>75</v>
          </cell>
          <cell r="D222">
            <v>6705</v>
          </cell>
          <cell r="E222" t="str">
            <v>Разград</v>
          </cell>
          <cell r="F222" t="str">
            <v>Разград</v>
          </cell>
          <cell r="G222" t="str">
            <v>Реконструкция на улични водопроводи и сградни отклонения в югозападната част на град Разград</v>
          </cell>
          <cell r="I222" t="str">
            <v>ВиК</v>
          </cell>
        </row>
        <row r="223">
          <cell r="C223">
            <v>76</v>
          </cell>
          <cell r="D223">
            <v>5108</v>
          </cell>
          <cell r="E223" t="str">
            <v>Разлог</v>
          </cell>
          <cell r="F223" t="str">
            <v>Благоевград</v>
          </cell>
          <cell r="G223" t="str">
            <v xml:space="preserve">Реконструкция и изграждане на канализационна и водопроводна мрежа на гр.Разлог - I-ви етап по проект за изпълнение и развитие на инфраструктурата за питейни и отпадъчни води на гр.Разлог, общ.Разлог,обл.Благоевград" - Етапно изграждане - II- ри етап
</v>
          </cell>
          <cell r="I223" t="str">
            <v>ВиК</v>
          </cell>
        </row>
        <row r="224">
          <cell r="C224">
            <v>77</v>
          </cell>
          <cell r="D224">
            <v>6612</v>
          </cell>
          <cell r="E224" t="str">
            <v>Родопи</v>
          </cell>
          <cell r="F224" t="str">
            <v>Пловдив</v>
          </cell>
          <cell r="G224" t="str">
            <v>Канализация на село Марково - главен колектор I продължение, главни колектори II и III</v>
          </cell>
          <cell r="I224" t="str">
            <v>ВиК</v>
          </cell>
        </row>
        <row r="225">
          <cell r="C225">
            <v>78</v>
          </cell>
          <cell r="D225">
            <v>7108</v>
          </cell>
          <cell r="E225" t="str">
            <v>Рудозем</v>
          </cell>
          <cell r="F225" t="str">
            <v>Смолян</v>
          </cell>
          <cell r="G225" t="str">
            <v>Вътрешна канализационна и водопроводна мрежа Елховец - лот 3, част водопровод</v>
          </cell>
          <cell r="I225" t="str">
            <v>ВиК</v>
          </cell>
        </row>
        <row r="226">
          <cell r="C226">
            <v>79</v>
          </cell>
          <cell r="D226">
            <v>6613</v>
          </cell>
          <cell r="E226" t="str">
            <v>Садово</v>
          </cell>
          <cell r="F226" t="str">
            <v>Пловдив</v>
          </cell>
          <cell r="G226" t="str">
            <v>Довеждаш водопровод от водоем до село Поповица, община Садово, област Пловдив - етап 1</v>
          </cell>
          <cell r="I226" t="str">
            <v>ВиК</v>
          </cell>
        </row>
        <row r="227">
          <cell r="C227">
            <v>80</v>
          </cell>
          <cell r="D227">
            <v>7318</v>
          </cell>
          <cell r="E227" t="str">
            <v>Самоков</v>
          </cell>
          <cell r="F227" t="str">
            <v>София област</v>
          </cell>
          <cell r="G227" t="str">
            <v>Реконструкция на вътрешна водопроводна мрежа на с.Продановци. Община Самоков</v>
          </cell>
          <cell r="I227" t="str">
            <v>ВиК</v>
          </cell>
        </row>
        <row r="228">
          <cell r="C228">
            <v>81</v>
          </cell>
          <cell r="D228">
            <v>7606</v>
          </cell>
          <cell r="E228" t="str">
            <v>Свиленград</v>
          </cell>
          <cell r="F228" t="str">
            <v>Хасково</v>
          </cell>
          <cell r="G228" t="str">
            <v>Изграждане на ВиК мрежа в кв. 325, 326, кв.327, кв.328, кв.329, кв.330, кв.331 и кв.332 в гр. Свиленград</v>
          </cell>
          <cell r="I228" t="str">
            <v>ВиК</v>
          </cell>
        </row>
        <row r="229">
          <cell r="C229">
            <v>82</v>
          </cell>
          <cell r="D229">
            <v>5408</v>
          </cell>
          <cell r="E229" t="str">
            <v>Свищов</v>
          </cell>
          <cell r="F229" t="str">
            <v>Велико Търново</v>
          </cell>
          <cell r="G229" t="str">
            <v>Аварийно възстановителни работи за реконструкция на водопровод за с.Българско сливово, община Свищов</v>
          </cell>
          <cell r="I229" t="str">
            <v>ВиК</v>
          </cell>
        </row>
        <row r="230">
          <cell r="C230">
            <v>83</v>
          </cell>
          <cell r="D230">
            <v>7319</v>
          </cell>
          <cell r="E230" t="str">
            <v>Своге</v>
          </cell>
          <cell r="F230" t="str">
            <v>София област</v>
          </cell>
          <cell r="G230" t="str">
            <v>1.Изграждане и рехабилитация на канализационната и водоснабдителната мрежа на град Своге": Първи етап : Рехабилитация на водоснабдителната
мрежа на централна градска част на град Своге. "Изграждане и рехабилитация на канализационната мрежа на централна градска част на град Своге" и „Основен ремонт пътна настилка на централна градска част на град Своге". - част ВиК</v>
          </cell>
          <cell r="I230" t="str">
            <v>ВиК</v>
          </cell>
        </row>
        <row r="231">
          <cell r="C231">
            <v>84</v>
          </cell>
          <cell r="D231">
            <v>5703</v>
          </cell>
          <cell r="E231" t="str">
            <v>Севлиево</v>
          </cell>
          <cell r="F231" t="str">
            <v>Габрово</v>
          </cell>
          <cell r="G231" t="str">
            <v>Реконструкция на довеждащ водопровод до ПСПВ "Стоките" и Източен водопроводен клон за питейна вода Участък: Източен водопровод, колн ПСПВ "Стоките" до р.ш. при с. Буря - с. Добромирка -етап 2, участък № 1 водопровод от т. 570 до т. 700 с L1=4205,35 м.</v>
          </cell>
          <cell r="I231" t="str">
            <v>ВиК</v>
          </cell>
        </row>
        <row r="232">
          <cell r="C232">
            <v>85</v>
          </cell>
          <cell r="D232">
            <v>7607</v>
          </cell>
          <cell r="E232" t="str">
            <v>Симеоновград</v>
          </cell>
          <cell r="F232" t="str">
            <v>Хасково</v>
          </cell>
          <cell r="G232" t="str">
            <v>Подмяна на водопроводна мрежа по улици: "Драва", "Тутракан", "Генерал Столетов", "Отец Паисий", "Шейновска" и "Александър Стамболийски", в гр. Симеоновград</v>
          </cell>
          <cell r="I232" t="str">
            <v>ВиК</v>
          </cell>
        </row>
        <row r="233">
          <cell r="C233">
            <v>86</v>
          </cell>
          <cell r="D233">
            <v>7003</v>
          </cell>
          <cell r="E233" t="str">
            <v xml:space="preserve">Сливен </v>
          </cell>
          <cell r="F233" t="str">
            <v>Сливен</v>
          </cell>
          <cell r="G233" t="str">
            <v>Изграждане на  улица, улични водопровод и канализация между бул."Бургаско шосе" и бул."Хаджи Димитър" от о.т. 3182 до о.т. 3180 по плана на гр.Сливен - част ВиК</v>
          </cell>
          <cell r="I233" t="str">
            <v>ВиК</v>
          </cell>
        </row>
        <row r="234">
          <cell r="C234">
            <v>87</v>
          </cell>
          <cell r="D234">
            <v>7320</v>
          </cell>
          <cell r="E234" t="str">
            <v>Сливница</v>
          </cell>
          <cell r="F234" t="str">
            <v>София област</v>
          </cell>
          <cell r="G234" t="str">
            <v xml:space="preserve"> “Реконструкция на част от съществуващата водоснабдителна система и съоръжения на град Сливница, община Сливница - подмяна на водопроводна мрежа по улици "Цар Симеон Велики" и ул."Неделище", разположени между бул." 1300 години България и ул."Генерал Гурко", така също улици "Генерал Гурко", "Панайот Хитов"; "Атанас Узунов"; "Панайот Волов"; "Тодор Г. Влайков", разположени между улици" Цар Симон Велики" и улица " Неделище", улиците "Васил Петлешков" и "Мир" разположени между ул." Цар Симон Велики", и ул." Хан Аспарух". и улица без изход "Ален Мак" с вход от улица" Цар Симеон Велики" - част ВиК
</v>
          </cell>
          <cell r="I234" t="str">
            <v>ВиК</v>
          </cell>
        </row>
        <row r="235">
          <cell r="C235">
            <v>88</v>
          </cell>
          <cell r="D235">
            <v>7109</v>
          </cell>
          <cell r="E235" t="str">
            <v>Смолян</v>
          </cell>
          <cell r="F235" t="str">
            <v>Смолян</v>
          </cell>
          <cell r="G235" t="str">
            <v>Реконструкция на вътрешна водоснабдителна мрежа на с. Момчиловци</v>
          </cell>
          <cell r="I235" t="str">
            <v>ВиК</v>
          </cell>
        </row>
        <row r="236">
          <cell r="C236">
            <v>89</v>
          </cell>
          <cell r="D236">
            <v>6614</v>
          </cell>
          <cell r="E236" t="str">
            <v>Стамболийски</v>
          </cell>
          <cell r="F236" t="str">
            <v>Пловдив</v>
          </cell>
          <cell r="G236" t="str">
            <v>Реконструкция на водопроводната мрежа на гр. Стамболийски по улици Васил Левски, Кочо Честименски, Гоце Делчев, Търговска, Рила, Захари Стоянов, Хаджи Димитър, Тодор Каблешков, Антим I-ви, Генерал Гурко, Перущица</v>
          </cell>
          <cell r="I236" t="str">
            <v>ВиК</v>
          </cell>
        </row>
        <row r="237">
          <cell r="C237">
            <v>90</v>
          </cell>
          <cell r="D237">
            <v>5410</v>
          </cell>
          <cell r="E237" t="str">
            <v>Сухиндол</v>
          </cell>
          <cell r="F237" t="str">
            <v>Велико Търново</v>
          </cell>
          <cell r="G237" t="str">
            <v>Ремонт и подмяна на съществуващ водопровод в с. Бяла река, общ. Сухиндол</v>
          </cell>
          <cell r="I237" t="str">
            <v>ВиК</v>
          </cell>
        </row>
        <row r="238">
          <cell r="C238">
            <v>91</v>
          </cell>
          <cell r="D238">
            <v>7004</v>
          </cell>
          <cell r="E238" t="str">
            <v>Твърдица</v>
          </cell>
          <cell r="F238" t="str">
            <v>Сливен</v>
          </cell>
          <cell r="G238" t="str">
            <v>Ремонт и подмяна на вътрешна водопроводна мрежа на гр. Шивачево</v>
          </cell>
          <cell r="I238" t="str">
            <v>ВиК</v>
          </cell>
        </row>
        <row r="239">
          <cell r="C239">
            <v>92</v>
          </cell>
          <cell r="D239">
            <v>6105</v>
          </cell>
          <cell r="E239" t="str">
            <v>Тетевен</v>
          </cell>
          <cell r="F239" t="str">
            <v>Ловеч</v>
          </cell>
          <cell r="G239" t="str">
            <v xml:space="preserve">„Реконструкция на водопроводна мрежа по индикативни улици, гр. Тетевен“. </v>
          </cell>
          <cell r="I239" t="str">
            <v>ВиК</v>
          </cell>
        </row>
        <row r="240">
          <cell r="C240">
            <v>93</v>
          </cell>
          <cell r="D240">
            <v>7609</v>
          </cell>
          <cell r="E240" t="str">
            <v>Тополовград</v>
          </cell>
          <cell r="F240" t="str">
            <v>Хасково</v>
          </cell>
          <cell r="G240" t="str">
            <v>„Реконструкция/рехабилитация на водопровод по улици „Миньорска“, „София“, „Варна“, „Бенковски“, „Пирин“ и „Родопи“ - гр. Тополовград“.</v>
          </cell>
          <cell r="I240" t="str">
            <v>ВиК</v>
          </cell>
        </row>
        <row r="241">
          <cell r="C241">
            <v>94</v>
          </cell>
          <cell r="D241">
            <v>6107</v>
          </cell>
          <cell r="E241" t="str">
            <v>Угърчин</v>
          </cell>
          <cell r="F241" t="str">
            <v>Ловеч</v>
          </cell>
          <cell r="G241" t="str">
            <v>ПСОВ с капицитет 3 000 еж на територията на община Угърчин</v>
          </cell>
          <cell r="I241" t="str">
            <v>ВиК</v>
          </cell>
        </row>
        <row r="242">
          <cell r="C242">
            <v>95</v>
          </cell>
          <cell r="D242">
            <v>5611</v>
          </cell>
          <cell r="E242" t="str">
            <v>Хайредин</v>
          </cell>
          <cell r="F242" t="str">
            <v>Враца</v>
          </cell>
          <cell r="G242" t="str">
            <v>Изпълнение СМР за водопроводни клонове - главни клонове ВВМ - 1 етап, с. Михайлово</v>
          </cell>
          <cell r="I242" t="str">
            <v>ВиК</v>
          </cell>
        </row>
        <row r="243">
          <cell r="C243">
            <v>96</v>
          </cell>
          <cell r="D243">
            <v>7610</v>
          </cell>
          <cell r="E243" t="str">
            <v>Харманли</v>
          </cell>
          <cell r="F243" t="str">
            <v>Хасково</v>
          </cell>
          <cell r="G243" t="str">
            <v>Основен ремонт на съществуваща водопроводна мрежа и сградни отклонения по ул. "Балкан" от о.т. 494 до о.т.708 по ПУП на гр. Харманли</v>
          </cell>
          <cell r="I243" t="str">
            <v>ВиК</v>
          </cell>
        </row>
        <row r="244">
          <cell r="C244">
            <v>97</v>
          </cell>
          <cell r="D244">
            <v>7611</v>
          </cell>
          <cell r="E244" t="str">
            <v>Хасково</v>
          </cell>
          <cell r="F244" t="str">
            <v>Хасково</v>
          </cell>
          <cell r="G244" t="str">
            <v>"Вътрешна водопроводна мрежа на с. Маслиново, община Хасково" - втори етап</v>
          </cell>
          <cell r="I244" t="str">
            <v>ВиК</v>
          </cell>
        </row>
        <row r="245">
          <cell r="C245">
            <v>98</v>
          </cell>
          <cell r="D245">
            <v>6616</v>
          </cell>
          <cell r="E245" t="str">
            <v>Хисаря</v>
          </cell>
          <cell r="F245" t="str">
            <v>Пловдив</v>
          </cell>
          <cell r="G245" t="str">
            <v xml:space="preserve"> „Реконструкция и подмяна на част от водопроводната мрежа, включително сградни отклонения, по улици в централна градска част, кв. Веригово и кв. Момина баня - гр. Хисаря, община Хисаря“ (Разрешение за строеж № 40/05.09.2019 г. за етапно изпълнение)</v>
          </cell>
          <cell r="I245" t="str">
            <v>ВиК</v>
          </cell>
        </row>
        <row r="246">
          <cell r="C246">
            <v>99</v>
          </cell>
          <cell r="D246">
            <v>7709</v>
          </cell>
          <cell r="E246" t="str">
            <v>Хитрино</v>
          </cell>
          <cell r="F246" t="str">
            <v>Шумен</v>
          </cell>
          <cell r="G246" t="str">
            <v>Реконструкция на вътрешната водопроводна мрежа на с. Каменяк, община Хитрино, област Шумен - втори етап</v>
          </cell>
          <cell r="I246" t="str">
            <v>ВиК</v>
          </cell>
        </row>
        <row r="247">
          <cell r="C247">
            <v>100</v>
          </cell>
          <cell r="D247">
            <v>7322</v>
          </cell>
          <cell r="E247" t="str">
            <v>Челопеч</v>
          </cell>
          <cell r="F247" t="str">
            <v>София област</v>
          </cell>
          <cell r="G247" t="str">
            <v>Изграждане на довеждащи водопроводи и ремонт на водохващания в с. Челопеч</v>
          </cell>
          <cell r="I247" t="str">
            <v>ВиК</v>
          </cell>
        </row>
        <row r="248">
          <cell r="C248">
            <v>101</v>
          </cell>
          <cell r="D248">
            <v>7110</v>
          </cell>
          <cell r="E248" t="str">
            <v>Чепеларе</v>
          </cell>
          <cell r="F248" t="str">
            <v>Смолян</v>
          </cell>
          <cell r="G248" t="str">
            <v>Доизграждане на водопроводна мрежа в с. Богутево</v>
          </cell>
          <cell r="I248" t="str">
            <v>ВиК</v>
          </cell>
        </row>
        <row r="249">
          <cell r="C249">
            <v>102</v>
          </cell>
          <cell r="D249">
            <v>5808</v>
          </cell>
          <cell r="E249" t="str">
            <v>Шабла</v>
          </cell>
          <cell r="F249" t="str">
            <v>Добрич</v>
          </cell>
          <cell r="G249" t="str">
            <v>Реконструкция на водопровод и рехабилитация на ул. Добруджа, гр. Шабла, община Шабла - част ВиК</v>
          </cell>
          <cell r="I249" t="str">
            <v>ВиК</v>
          </cell>
        </row>
        <row r="250">
          <cell r="C250">
            <v>103</v>
          </cell>
          <cell r="D250">
            <v>6108</v>
          </cell>
          <cell r="E250" t="str">
            <v>Ябланица</v>
          </cell>
          <cell r="F250" t="str">
            <v>Ловеч</v>
          </cell>
          <cell r="G250" t="str">
            <v>"Реконструкция на вътрешна водопроводна мрежа по ул."Св.Св. Кирил и Методий" - ІІ етап - от ОТ 25 до ОТ 60, с. Батулци,  община Ябланица"</v>
          </cell>
          <cell r="I250" t="str">
            <v>ВиК</v>
          </cell>
        </row>
        <row r="251">
          <cell r="C251">
            <v>104</v>
          </cell>
          <cell r="D251">
            <v>6211</v>
          </cell>
          <cell r="E251" t="str">
            <v>Якимово</v>
          </cell>
          <cell r="F251" t="str">
            <v>Монтана</v>
          </cell>
          <cell r="G251" t="str">
            <v>Доизграждане на вътрешна водопроводната мрежа, село Дългоделци, община Якимово</v>
          </cell>
          <cell r="I251" t="str">
            <v>ВиК</v>
          </cell>
        </row>
        <row r="252">
          <cell r="C252">
            <v>105</v>
          </cell>
          <cell r="D252">
            <v>5114</v>
          </cell>
          <cell r="E252" t="str">
            <v>Якоруда</v>
          </cell>
          <cell r="F252" t="str">
            <v>Благоевград</v>
          </cell>
          <cell r="G252" t="str">
            <v>„Реконструкция на водохващането и довеждащия водопровод за село Черна Места, община Якоруда, област Благоевград“</v>
          </cell>
          <cell r="I252" t="str">
            <v>ВиК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kmet@dolnamitropolia.egov.bg" TargetMode="External"/><Relationship Id="rId21" Type="http://schemas.openxmlformats.org/officeDocument/2006/relationships/hyperlink" Target="mailto:obstina_gramada@abv.bg" TargetMode="External"/><Relationship Id="rId42" Type="http://schemas.openxmlformats.org/officeDocument/2006/relationships/hyperlink" Target="mailto:kostenetz_adm@kostenetz.com" TargetMode="External"/><Relationship Id="rId47" Type="http://schemas.openxmlformats.org/officeDocument/2006/relationships/hyperlink" Target="mailto:obshtina@lovech.bg" TargetMode="External"/><Relationship Id="rId63" Type="http://schemas.openxmlformats.org/officeDocument/2006/relationships/hyperlink" Target="mailto:obshtina@pavlikeni.bg" TargetMode="External"/><Relationship Id="rId68" Type="http://schemas.openxmlformats.org/officeDocument/2006/relationships/hyperlink" Target="mailto:kmet@razlog.bg" TargetMode="External"/><Relationship Id="rId84" Type="http://schemas.openxmlformats.org/officeDocument/2006/relationships/hyperlink" Target="mailto:mayor@teteven.bg" TargetMode="External"/><Relationship Id="rId89" Type="http://schemas.openxmlformats.org/officeDocument/2006/relationships/hyperlink" Target="mailto:kmet@haskovo.bg" TargetMode="External"/><Relationship Id="rId16" Type="http://schemas.openxmlformats.org/officeDocument/2006/relationships/hyperlink" Target="mailto:obshtina@varbitsa.org" TargetMode="External"/><Relationship Id="rId11" Type="http://schemas.openxmlformats.org/officeDocument/2006/relationships/hyperlink" Target="mailto:obshtina@brusartsi.egov.bg" TargetMode="External"/><Relationship Id="rId32" Type="http://schemas.openxmlformats.org/officeDocument/2006/relationships/hyperlink" Target="mailto:obshtina_ihtiman@mail.bg" TargetMode="External"/><Relationship Id="rId37" Type="http://schemas.openxmlformats.org/officeDocument/2006/relationships/hyperlink" Target="mailto:obshtina@karlovo.bg" TargetMode="External"/><Relationship Id="rId53" Type="http://schemas.openxmlformats.org/officeDocument/2006/relationships/hyperlink" Target="mailto:medkovec@mail.bg" TargetMode="External"/><Relationship Id="rId58" Type="http://schemas.openxmlformats.org/officeDocument/2006/relationships/hyperlink" Target="mailto:contacts@nesebar.bg" TargetMode="External"/><Relationship Id="rId74" Type="http://schemas.openxmlformats.org/officeDocument/2006/relationships/hyperlink" Target="mailto:obshtina@svishtov.bg" TargetMode="External"/><Relationship Id="rId79" Type="http://schemas.openxmlformats.org/officeDocument/2006/relationships/hyperlink" Target="mailto:slivnitsa@slivnitsa.bg" TargetMode="External"/><Relationship Id="rId5" Type="http://schemas.openxmlformats.org/officeDocument/2006/relationships/hyperlink" Target="mailto:kmet@belovo.bg" TargetMode="External"/><Relationship Id="rId90" Type="http://schemas.openxmlformats.org/officeDocument/2006/relationships/hyperlink" Target="mailto:contacts@hisarya.bg" TargetMode="External"/><Relationship Id="rId95" Type="http://schemas.openxmlformats.org/officeDocument/2006/relationships/hyperlink" Target="mailto:kmet@yablanitsa.bg" TargetMode="External"/><Relationship Id="rId22" Type="http://schemas.openxmlformats.org/officeDocument/2006/relationships/hyperlink" Target="mailto:gurkovo_obs@abv.bg" TargetMode="External"/><Relationship Id="rId27" Type="http://schemas.openxmlformats.org/officeDocument/2006/relationships/hyperlink" Target="mailto:dolnidabnik@dolnidabnik.egov.bg" TargetMode="External"/><Relationship Id="rId43" Type="http://schemas.openxmlformats.org/officeDocument/2006/relationships/hyperlink" Target="mailto:obshtinakardzhali@kardjali.bg" TargetMode="External"/><Relationship Id="rId48" Type="http://schemas.openxmlformats.org/officeDocument/2006/relationships/hyperlink" Target="mailto:obshtina.lom@mail.bg" TargetMode="External"/><Relationship Id="rId64" Type="http://schemas.openxmlformats.org/officeDocument/2006/relationships/hyperlink" Target="mailto:obshtina@pernik.bg" TargetMode="External"/><Relationship Id="rId69" Type="http://schemas.openxmlformats.org/officeDocument/2006/relationships/hyperlink" Target="mailto:obshtina@rodopi.bg" TargetMode="External"/><Relationship Id="rId80" Type="http://schemas.openxmlformats.org/officeDocument/2006/relationships/hyperlink" Target="mailto:obshtina_smolyan@abv.bg" TargetMode="External"/><Relationship Id="rId85" Type="http://schemas.openxmlformats.org/officeDocument/2006/relationships/hyperlink" Target="mailto:obshtina@topolovgrad.bg" TargetMode="External"/><Relationship Id="rId3" Type="http://schemas.openxmlformats.org/officeDocument/2006/relationships/hyperlink" Target="mailto:obshtina@asenovgrad.bg" TargetMode="External"/><Relationship Id="rId12" Type="http://schemas.openxmlformats.org/officeDocument/2006/relationships/hyperlink" Target="mailto:bslatina@oabsl.bg" TargetMode="External"/><Relationship Id="rId17" Type="http://schemas.openxmlformats.org/officeDocument/2006/relationships/hyperlink" Target="mailto:kmet_varshets@abv.bg" TargetMode="External"/><Relationship Id="rId25" Type="http://schemas.openxmlformats.org/officeDocument/2006/relationships/hyperlink" Target="mailto:obshtina@dobrichka.bg" TargetMode="External"/><Relationship Id="rId33" Type="http://schemas.openxmlformats.org/officeDocument/2006/relationships/hyperlink" Target="mailto:mayor@kazanlak.bg" TargetMode="External"/><Relationship Id="rId38" Type="http://schemas.openxmlformats.org/officeDocument/2006/relationships/hyperlink" Target="mailto:obshtina@karlovo.bg" TargetMode="External"/><Relationship Id="rId46" Type="http://schemas.openxmlformats.org/officeDocument/2006/relationships/hyperlink" Target="mailto:letnitsa@mail.bg" TargetMode="External"/><Relationship Id="rId59" Type="http://schemas.openxmlformats.org/officeDocument/2006/relationships/hyperlink" Target="mailto:obshtina@nova-zagora.org" TargetMode="External"/><Relationship Id="rId67" Type="http://schemas.openxmlformats.org/officeDocument/2006/relationships/hyperlink" Target="mailto:obshtina@razgrad.bg" TargetMode="External"/><Relationship Id="rId20" Type="http://schemas.openxmlformats.org/officeDocument/2006/relationships/hyperlink" Target="mailto:oba@gocenet.net" TargetMode="External"/><Relationship Id="rId41" Type="http://schemas.openxmlformats.org/officeDocument/2006/relationships/hyperlink" Target="mailto:obstina_kneja@abv.bg" TargetMode="External"/><Relationship Id="rId54" Type="http://schemas.openxmlformats.org/officeDocument/2006/relationships/hyperlink" Target="mailto:mizia@mizia.egov.bg" TargetMode="External"/><Relationship Id="rId62" Type="http://schemas.openxmlformats.org/officeDocument/2006/relationships/hyperlink" Target="mailto:mail@oriahovo.bg" TargetMode="External"/><Relationship Id="rId70" Type="http://schemas.openxmlformats.org/officeDocument/2006/relationships/hyperlink" Target="mailto:oba@rudozem.bg" TargetMode="External"/><Relationship Id="rId75" Type="http://schemas.openxmlformats.org/officeDocument/2006/relationships/hyperlink" Target="mailto:kmet@svoge.bg" TargetMode="External"/><Relationship Id="rId83" Type="http://schemas.openxmlformats.org/officeDocument/2006/relationships/hyperlink" Target="mailto:obshtina@tvarditsa.bg" TargetMode="External"/><Relationship Id="rId88" Type="http://schemas.openxmlformats.org/officeDocument/2006/relationships/hyperlink" Target="mailto:obshtina@harmanli.bg" TargetMode="External"/><Relationship Id="rId91" Type="http://schemas.openxmlformats.org/officeDocument/2006/relationships/hyperlink" Target="mailto:kmet@hitrino.bg" TargetMode="External"/><Relationship Id="rId96" Type="http://schemas.openxmlformats.org/officeDocument/2006/relationships/hyperlink" Target="mailto:qkimovo@net-surf.net" TargetMode="External"/><Relationship Id="rId1" Type="http://schemas.openxmlformats.org/officeDocument/2006/relationships/hyperlink" Target="mailto:obanton@antonbg.com" TargetMode="External"/><Relationship Id="rId6" Type="http://schemas.openxmlformats.org/officeDocument/2006/relationships/hyperlink" Target="mailto:kmet@belogradchik.egov.bg" TargetMode="External"/><Relationship Id="rId15" Type="http://schemas.openxmlformats.org/officeDocument/2006/relationships/hyperlink" Target="mailto:oba@valchidol.bg" TargetMode="External"/><Relationship Id="rId23" Type="http://schemas.openxmlformats.org/officeDocument/2006/relationships/hyperlink" Target="mailto:obshtina@devin.bg" TargetMode="External"/><Relationship Id="rId28" Type="http://schemas.openxmlformats.org/officeDocument/2006/relationships/hyperlink" Target="mailto:obshtina_dragoman@abv.bg" TargetMode="External"/><Relationship Id="rId36" Type="http://schemas.openxmlformats.org/officeDocument/2006/relationships/hyperlink" Target="mailto:info@kaolinovo.bg" TargetMode="External"/><Relationship Id="rId49" Type="http://schemas.openxmlformats.org/officeDocument/2006/relationships/hyperlink" Target="mailto:oba@lyubimets.bg" TargetMode="External"/><Relationship Id="rId57" Type="http://schemas.openxmlformats.org/officeDocument/2006/relationships/hyperlink" Target="mailto:ob_maglizh@mail.bg" TargetMode="External"/><Relationship Id="rId10" Type="http://schemas.openxmlformats.org/officeDocument/2006/relationships/hyperlink" Target="mailto:ob.borovan@borovan.egov.bg" TargetMode="External"/><Relationship Id="rId31" Type="http://schemas.openxmlformats.org/officeDocument/2006/relationships/hyperlink" Target="mailto:obshtina@ivaylovgrad.bg" TargetMode="External"/><Relationship Id="rId44" Type="http://schemas.openxmlformats.org/officeDocument/2006/relationships/hyperlink" Target="mailto:obshtina@oblevski.egov.bg" TargetMode="External"/><Relationship Id="rId52" Type="http://schemas.openxmlformats.org/officeDocument/2006/relationships/hyperlink" Target="mailto:obshtina@maritsa.bg" TargetMode="External"/><Relationship Id="rId60" Type="http://schemas.openxmlformats.org/officeDocument/2006/relationships/hyperlink" Target="mailto:obshtina_omurtag@abv.bg" TargetMode="External"/><Relationship Id="rId65" Type="http://schemas.openxmlformats.org/officeDocument/2006/relationships/hyperlink" Target="mailto:obstina@pirdop.bg" TargetMode="External"/><Relationship Id="rId73" Type="http://schemas.openxmlformats.org/officeDocument/2006/relationships/hyperlink" Target="mailto:obshtina@svilengrad.bg" TargetMode="External"/><Relationship Id="rId78" Type="http://schemas.openxmlformats.org/officeDocument/2006/relationships/hyperlink" Target="mailto:kmet@sliven.bg" TargetMode="External"/><Relationship Id="rId81" Type="http://schemas.openxmlformats.org/officeDocument/2006/relationships/hyperlink" Target="mailto:stamboliyski@mail.orbitel.bg" TargetMode="External"/><Relationship Id="rId86" Type="http://schemas.openxmlformats.org/officeDocument/2006/relationships/hyperlink" Target="mailto:obshtina@ugarchin.com" TargetMode="External"/><Relationship Id="rId94" Type="http://schemas.openxmlformats.org/officeDocument/2006/relationships/hyperlink" Target="mailto:obshtina@ob-shabla.org" TargetMode="External"/><Relationship Id="rId4" Type="http://schemas.openxmlformats.org/officeDocument/2006/relationships/hyperlink" Target="mailto:mayor@balchik.bg" TargetMode="External"/><Relationship Id="rId9" Type="http://schemas.openxmlformats.org/officeDocument/2006/relationships/hyperlink" Target="mailto:kmet@boychinovtsi.bg" TargetMode="External"/><Relationship Id="rId13" Type="http://schemas.openxmlformats.org/officeDocument/2006/relationships/hyperlink" Target="mailto:mayorvt@vt.bia-bg.com" TargetMode="External"/><Relationship Id="rId18" Type="http://schemas.openxmlformats.org/officeDocument/2006/relationships/hyperlink" Target="mailto:gabrovo@gabrovo.bg" TargetMode="External"/><Relationship Id="rId39" Type="http://schemas.openxmlformats.org/officeDocument/2006/relationships/hyperlink" Target="mailto:obshtina@kaspichan.org" TargetMode="External"/><Relationship Id="rId34" Type="http://schemas.openxmlformats.org/officeDocument/2006/relationships/hyperlink" Target="mailto:mun-kaynardzha@obmen.bg" TargetMode="External"/><Relationship Id="rId50" Type="http://schemas.openxmlformats.org/officeDocument/2006/relationships/hyperlink" Target="mailto:obshtina@lyaskovets.bg" TargetMode="External"/><Relationship Id="rId55" Type="http://schemas.openxmlformats.org/officeDocument/2006/relationships/hyperlink" Target="mailto:obshtina@mezdra.egov.bg" TargetMode="External"/><Relationship Id="rId76" Type="http://schemas.openxmlformats.org/officeDocument/2006/relationships/hyperlink" Target="mailto:sevlievo@sevlievo.bg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mailto:blg@blagoevgrad.bg" TargetMode="External"/><Relationship Id="rId71" Type="http://schemas.openxmlformats.org/officeDocument/2006/relationships/hyperlink" Target="mailto:sadovo@sadovo.bg" TargetMode="External"/><Relationship Id="rId92" Type="http://schemas.openxmlformats.org/officeDocument/2006/relationships/hyperlink" Target="mailto:Obshtina.Chelopech@chelopech.egov.bg" TargetMode="External"/><Relationship Id="rId2" Type="http://schemas.openxmlformats.org/officeDocument/2006/relationships/hyperlink" Target="mailto:info@obshtina-apriltsi.com" TargetMode="External"/><Relationship Id="rId29" Type="http://schemas.openxmlformats.org/officeDocument/2006/relationships/hyperlink" Target="mailto:obshtina@dalgopol.org" TargetMode="External"/><Relationship Id="rId24" Type="http://schemas.openxmlformats.org/officeDocument/2006/relationships/hyperlink" Target="mailto:dobrich@dobrich.bg" TargetMode="External"/><Relationship Id="rId40" Type="http://schemas.openxmlformats.org/officeDocument/2006/relationships/hyperlink" Target="mailto:info@koprivshtitsa-bg.com" TargetMode="External"/><Relationship Id="rId45" Type="http://schemas.openxmlformats.org/officeDocument/2006/relationships/hyperlink" Target="mailto:ObA_Lesi4ovo@hotmail.com" TargetMode="External"/><Relationship Id="rId66" Type="http://schemas.openxmlformats.org/officeDocument/2006/relationships/hyperlink" Target="mailto:obshtinaradomir@abv.bg" TargetMode="External"/><Relationship Id="rId87" Type="http://schemas.openxmlformats.org/officeDocument/2006/relationships/hyperlink" Target="mailto:hayredin_ob@mail.bg" TargetMode="External"/><Relationship Id="rId61" Type="http://schemas.openxmlformats.org/officeDocument/2006/relationships/hyperlink" Target="mailto:opan@mail.bg" TargetMode="External"/><Relationship Id="rId82" Type="http://schemas.openxmlformats.org/officeDocument/2006/relationships/hyperlink" Target="mailto:kmet@suhindol.egov.bg" TargetMode="External"/><Relationship Id="rId19" Type="http://schemas.openxmlformats.org/officeDocument/2006/relationships/hyperlink" Target="mailto:gd3470@mail.bg" TargetMode="External"/><Relationship Id="rId14" Type="http://schemas.openxmlformats.org/officeDocument/2006/relationships/hyperlink" Target="mailto:kmet@valchedram.bg" TargetMode="External"/><Relationship Id="rId30" Type="http://schemas.openxmlformats.org/officeDocument/2006/relationships/hyperlink" Target="mailto:obshtina@elena.bg" TargetMode="External"/><Relationship Id="rId35" Type="http://schemas.openxmlformats.org/officeDocument/2006/relationships/hyperlink" Target="mailto:kaloianovo@mail-bg.com" TargetMode="External"/><Relationship Id="rId56" Type="http://schemas.openxmlformats.org/officeDocument/2006/relationships/hyperlink" Target="mailto:info@mirkovo.bg" TargetMode="External"/><Relationship Id="rId77" Type="http://schemas.openxmlformats.org/officeDocument/2006/relationships/hyperlink" Target="mailto:obshtina@simeonovgrad.bg" TargetMode="External"/><Relationship Id="rId8" Type="http://schemas.openxmlformats.org/officeDocument/2006/relationships/hyperlink" Target="mailto:obshtina@bobovdol.egov.bg" TargetMode="External"/><Relationship Id="rId51" Type="http://schemas.openxmlformats.org/officeDocument/2006/relationships/hyperlink" Target="mailto:mt_kmet@mail.bg" TargetMode="External"/><Relationship Id="rId72" Type="http://schemas.openxmlformats.org/officeDocument/2006/relationships/hyperlink" Target="mailto:obsh_sam@mail.bgmayor@samokov.bg" TargetMode="External"/><Relationship Id="rId93" Type="http://schemas.openxmlformats.org/officeDocument/2006/relationships/hyperlink" Target="mailto:mail@chepelare.b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7"/>
  <sheetViews>
    <sheetView tabSelected="1" view="pageBreakPreview" topLeftCell="A107" zoomScaleNormal="100" zoomScaleSheetLayoutView="100" workbookViewId="0">
      <selection activeCell="U23" sqref="U23"/>
    </sheetView>
  </sheetViews>
  <sheetFormatPr defaultRowHeight="15.75" x14ac:dyDescent="0.25"/>
  <cols>
    <col min="1" max="1" width="1" customWidth="1"/>
    <col min="2" max="2" width="5.85546875" customWidth="1"/>
    <col min="3" max="3" width="7.5703125" customWidth="1"/>
    <col min="4" max="4" width="28.42578125" hidden="1" customWidth="1"/>
    <col min="5" max="5" width="18.140625" customWidth="1"/>
    <col min="6" max="6" width="22.28515625" customWidth="1"/>
    <col min="7" max="7" width="51.28515625" customWidth="1"/>
    <col min="8" max="8" width="19.140625" customWidth="1"/>
    <col min="9" max="9" width="8.140625" hidden="1" customWidth="1"/>
    <col min="10" max="10" width="40.5703125" hidden="1" customWidth="1"/>
    <col min="11" max="11" width="18.85546875" style="3" hidden="1" customWidth="1"/>
    <col min="12" max="12" width="9.28515625" style="2" hidden="1" customWidth="1"/>
    <col min="13" max="13" width="27.28515625" style="2" hidden="1" customWidth="1"/>
    <col min="14" max="14" width="18.140625" customWidth="1"/>
    <col min="15" max="15" width="17.28515625" customWidth="1"/>
    <col min="16" max="16" width="17.5703125" hidden="1" customWidth="1"/>
    <col min="17" max="17" width="14" hidden="1" customWidth="1"/>
    <col min="18" max="18" width="15.42578125" hidden="1" customWidth="1"/>
    <col min="19" max="19" width="12.5703125" customWidth="1"/>
    <col min="20" max="20" width="22.5703125" hidden="1" customWidth="1"/>
    <col min="21" max="21" width="12.7109375" customWidth="1"/>
    <col min="22" max="22" width="15.5703125" hidden="1" customWidth="1"/>
    <col min="23" max="23" width="9.140625" customWidth="1"/>
    <col min="24" max="24" width="10.7109375" customWidth="1"/>
    <col min="25" max="25" width="20.28515625" style="22" hidden="1" customWidth="1"/>
    <col min="26" max="26" width="40.7109375" hidden="1" customWidth="1"/>
  </cols>
  <sheetData>
    <row r="1" spans="2:26" ht="18.75" x14ac:dyDescent="0.25">
      <c r="E1" s="41"/>
    </row>
    <row r="2" spans="2:26" ht="33" customHeight="1" x14ac:dyDescent="0.4">
      <c r="D2" s="68" t="s">
        <v>334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2:26" ht="15.75" customHeight="1" x14ac:dyDescent="0.4">
      <c r="D3" s="7"/>
      <c r="E3" s="69" t="s">
        <v>337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2:26" ht="15.75" customHeight="1" x14ac:dyDescent="0.4">
      <c r="D4" s="7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spans="2:26" ht="15.75" customHeight="1" x14ac:dyDescent="0.4">
      <c r="D5" s="7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38"/>
      <c r="T5" s="11"/>
      <c r="U5" s="11"/>
      <c r="V5" s="11"/>
      <c r="W5" s="11"/>
      <c r="X5" s="11"/>
      <c r="Y5" s="11"/>
      <c r="Z5" s="11"/>
    </row>
    <row r="6" spans="2:26" ht="15.75" customHeight="1" x14ac:dyDescent="0.4">
      <c r="D6" s="7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38"/>
      <c r="T6" s="11"/>
      <c r="U6" s="11"/>
      <c r="V6" s="11"/>
      <c r="W6" s="11"/>
      <c r="X6" s="11"/>
      <c r="Y6" s="11"/>
    </row>
    <row r="8" spans="2:26" ht="75" x14ac:dyDescent="0.25">
      <c r="B8" s="50" t="s">
        <v>331</v>
      </c>
      <c r="C8" s="50" t="s">
        <v>330</v>
      </c>
      <c r="D8" s="50" t="s">
        <v>0</v>
      </c>
      <c r="E8" s="50" t="s">
        <v>1</v>
      </c>
      <c r="F8" s="50" t="s">
        <v>2</v>
      </c>
      <c r="G8" s="50" t="s">
        <v>3</v>
      </c>
      <c r="H8" s="51" t="s">
        <v>541</v>
      </c>
      <c r="I8" s="50" t="s">
        <v>4</v>
      </c>
      <c r="J8" s="50" t="s">
        <v>5</v>
      </c>
      <c r="K8" s="50" t="s">
        <v>300</v>
      </c>
      <c r="L8" s="52" t="s">
        <v>111</v>
      </c>
      <c r="M8" s="50" t="s">
        <v>332</v>
      </c>
      <c r="N8" s="50" t="s">
        <v>358</v>
      </c>
      <c r="O8" s="50" t="s">
        <v>336</v>
      </c>
      <c r="P8" s="53" t="s">
        <v>333</v>
      </c>
      <c r="Q8" s="52" t="s">
        <v>224</v>
      </c>
      <c r="R8" s="53" t="s">
        <v>264</v>
      </c>
      <c r="S8" s="53" t="s">
        <v>539</v>
      </c>
      <c r="T8" s="53" t="s">
        <v>345</v>
      </c>
      <c r="U8" s="53" t="s">
        <v>346</v>
      </c>
      <c r="V8" s="53" t="s">
        <v>347</v>
      </c>
      <c r="W8" s="53" t="s">
        <v>348</v>
      </c>
      <c r="X8" s="53" t="s">
        <v>349</v>
      </c>
      <c r="Y8" s="17" t="s">
        <v>356</v>
      </c>
      <c r="Z8" s="13" t="s">
        <v>225</v>
      </c>
    </row>
    <row r="9" spans="2:26" ht="60" x14ac:dyDescent="0.25">
      <c r="B9" s="29">
        <v>1</v>
      </c>
      <c r="C9" s="29">
        <f>'[1]Списък към доклад'!C150</f>
        <v>3</v>
      </c>
      <c r="D9" s="29">
        <f>'[1]Списък към доклад'!D150</f>
        <v>6601</v>
      </c>
      <c r="E9" s="46" t="str">
        <f>'[1]Списък към доклад'!E150</f>
        <v>Асеновград</v>
      </c>
      <c r="F9" s="47" t="str">
        <f>'[1]Списък към доклад'!F150</f>
        <v>Пловдив</v>
      </c>
      <c r="G9" s="43" t="str">
        <f>'[1]Списък към доклад'!G150</f>
        <v>Изграждане на водопровод и канализация в нов квартал „Баделема“ - I етап</v>
      </c>
      <c r="H9" s="34">
        <v>583387</v>
      </c>
      <c r="I9" s="29" t="str">
        <f>'[1]Списък към доклад'!I150</f>
        <v>ВиК</v>
      </c>
      <c r="J9" s="54" t="s">
        <v>8</v>
      </c>
      <c r="K9" s="29" t="s">
        <v>301</v>
      </c>
      <c r="L9" s="55" t="s">
        <v>112</v>
      </c>
      <c r="M9" s="55" t="s">
        <v>153</v>
      </c>
      <c r="N9" s="30">
        <f>1155718.77+11550+34671.5</f>
        <v>1201940.27</v>
      </c>
      <c r="O9" s="30">
        <v>0</v>
      </c>
      <c r="P9" s="30">
        <f>H9-O9</f>
        <v>583387</v>
      </c>
      <c r="Q9" s="29"/>
      <c r="R9" s="27" t="s">
        <v>275</v>
      </c>
      <c r="S9" s="44">
        <f>O9/H9</f>
        <v>0</v>
      </c>
      <c r="T9" s="10" t="s">
        <v>355</v>
      </c>
      <c r="U9" s="29" t="s">
        <v>353</v>
      </c>
      <c r="V9" s="29" t="s">
        <v>352</v>
      </c>
      <c r="W9" s="29" t="s">
        <v>351</v>
      </c>
      <c r="X9" s="29" t="s">
        <v>357</v>
      </c>
      <c r="Y9" s="19">
        <f>N9-H9</f>
        <v>618553.27</v>
      </c>
      <c r="Z9" s="9" t="s">
        <v>424</v>
      </c>
    </row>
    <row r="10" spans="2:26" ht="75" x14ac:dyDescent="0.25">
      <c r="B10" s="29">
        <f>B9+1</f>
        <v>2</v>
      </c>
      <c r="C10" s="29">
        <f>'[1]Списък към доклад'!C188</f>
        <v>41</v>
      </c>
      <c r="D10" s="29">
        <f>'[1]Списък към доклад'!D188</f>
        <v>6603</v>
      </c>
      <c r="E10" s="46" t="str">
        <f>'[1]Списък към доклад'!E188</f>
        <v>Калояново</v>
      </c>
      <c r="F10" s="47" t="str">
        <f>'[1]Списък към доклад'!F188</f>
        <v>Пловдив</v>
      </c>
      <c r="G10" s="43" t="str">
        <f>'[1]Списък към доклад'!G188</f>
        <v>Подмяна на съществуващ уличен водопровод по ул. „Петър Берон“, ул. Цанко Церковски“, ул. „Васил Левски“ в участъците о. т. 218-213-212-211-209-210-161-159-160-154-153-151-114-101-100-69-73-74, с. Калояново, общ. Калояново“</v>
      </c>
      <c r="H10" s="34">
        <v>305128</v>
      </c>
      <c r="I10" s="29" t="str">
        <f>'[1]Списък към доклад'!I188</f>
        <v>ВиК</v>
      </c>
      <c r="J10" s="54" t="s">
        <v>46</v>
      </c>
      <c r="K10" s="29" t="s">
        <v>301</v>
      </c>
      <c r="L10" s="55" t="s">
        <v>112</v>
      </c>
      <c r="M10" s="55" t="s">
        <v>350</v>
      </c>
      <c r="N10" s="30">
        <f>461861.98+3000+1000</f>
        <v>465861.98</v>
      </c>
      <c r="O10" s="30">
        <v>0</v>
      </c>
      <c r="P10" s="30">
        <f t="shared" ref="P10:P73" si="0">H10-O10</f>
        <v>305128</v>
      </c>
      <c r="Q10" s="29" t="s">
        <v>284</v>
      </c>
      <c r="R10" s="27" t="s">
        <v>275</v>
      </c>
      <c r="S10" s="44">
        <f t="shared" ref="S10:S73" si="1">O10/H10</f>
        <v>0</v>
      </c>
      <c r="T10" s="10" t="s">
        <v>360</v>
      </c>
      <c r="U10" s="29" t="s">
        <v>353</v>
      </c>
      <c r="V10" s="29" t="s">
        <v>352</v>
      </c>
      <c r="W10" s="29" t="s">
        <v>351</v>
      </c>
      <c r="X10" s="29" t="s">
        <v>357</v>
      </c>
      <c r="Y10" s="19">
        <f>N10-H10</f>
        <v>160733.97999999998</v>
      </c>
      <c r="Z10" s="6" t="s">
        <v>417</v>
      </c>
    </row>
    <row r="11" spans="2:26" ht="83.25" x14ac:dyDescent="0.25">
      <c r="B11" s="29">
        <f t="shared" ref="B11:B74" si="2">B10+1</f>
        <v>3</v>
      </c>
      <c r="C11" s="29">
        <f>'[1]Списък към доклад'!C190</f>
        <v>43</v>
      </c>
      <c r="D11" s="29">
        <f>'[1]Списък към доклад'!D190</f>
        <v>6604</v>
      </c>
      <c r="E11" s="46" t="str">
        <f>'[1]Списък към доклад'!E190</f>
        <v>Карлово</v>
      </c>
      <c r="F11" s="47" t="str">
        <f>'[1]Списък към доклад'!F190</f>
        <v>Пловдив</v>
      </c>
      <c r="G11" s="43" t="str">
        <f>'[1]Списък към доклад'!G190</f>
        <v>Рехабилитация и реконструкция на част общински път PDV 1360 от и водопроводна мрежа в населените места - част ВиК</v>
      </c>
      <c r="H11" s="34">
        <v>978405</v>
      </c>
      <c r="I11" s="29" t="str">
        <f>'[1]Списък към доклад'!I190</f>
        <v>ВиК</v>
      </c>
      <c r="J11" s="54" t="s">
        <v>48</v>
      </c>
      <c r="K11" s="29" t="s">
        <v>301</v>
      </c>
      <c r="L11" s="55" t="s">
        <v>112</v>
      </c>
      <c r="M11" s="55" t="s">
        <v>172</v>
      </c>
      <c r="N11" s="30">
        <f>155660.24+576027.2+1195920.88+29200.91</f>
        <v>1956809.2299999997</v>
      </c>
      <c r="O11" s="30">
        <f>293521.38</f>
        <v>293521.38</v>
      </c>
      <c r="P11" s="30">
        <f t="shared" si="0"/>
        <v>684883.62</v>
      </c>
      <c r="Q11" s="29" t="s">
        <v>292</v>
      </c>
      <c r="R11" s="27" t="s">
        <v>275</v>
      </c>
      <c r="S11" s="44">
        <f t="shared" si="1"/>
        <v>0.29999987735140354</v>
      </c>
      <c r="T11" s="24" t="s">
        <v>542</v>
      </c>
      <c r="U11" s="29" t="s">
        <v>353</v>
      </c>
      <c r="V11" s="29" t="s">
        <v>352</v>
      </c>
      <c r="W11" s="29" t="s">
        <v>351</v>
      </c>
      <c r="X11" s="29" t="s">
        <v>357</v>
      </c>
      <c r="Y11" s="25">
        <v>978404</v>
      </c>
      <c r="Z11" s="16" t="s">
        <v>445</v>
      </c>
    </row>
    <row r="12" spans="2:26" ht="71.25" customHeight="1" x14ac:dyDescent="0.25">
      <c r="B12" s="29">
        <f t="shared" si="2"/>
        <v>4</v>
      </c>
      <c r="C12" s="29">
        <f>'[1]Списък към доклад'!C191</f>
        <v>44</v>
      </c>
      <c r="D12" s="29">
        <f>'[1]Списък към доклад'!D191</f>
        <v>6604</v>
      </c>
      <c r="E12" s="46" t="str">
        <f>'[1]Списък към доклад'!E191</f>
        <v>Карлово</v>
      </c>
      <c r="F12" s="47" t="str">
        <f>'[1]Списък към доклад'!F191</f>
        <v>Пловдив</v>
      </c>
      <c r="G12" s="43" t="str">
        <f>'[1]Списък към доклад'!G191</f>
        <v>Рехабилитация и реконструкция на част от общински път - PDV 1290 и водопроводна мрежа в с.Московец, община Карлово - част ВиК</v>
      </c>
      <c r="H12" s="34">
        <v>126500</v>
      </c>
      <c r="I12" s="29" t="str">
        <f>'[1]Списък към доклад'!I191</f>
        <v>ВиК</v>
      </c>
      <c r="J12" s="54" t="s">
        <v>48</v>
      </c>
      <c r="K12" s="29" t="s">
        <v>301</v>
      </c>
      <c r="L12" s="55" t="s">
        <v>112</v>
      </c>
      <c r="M12" s="55" t="s">
        <v>173</v>
      </c>
      <c r="N12" s="30">
        <f>125000</f>
        <v>125000</v>
      </c>
      <c r="O12" s="30">
        <f>37656+45187.2+300+360</f>
        <v>83503.199999999997</v>
      </c>
      <c r="P12" s="30">
        <f t="shared" si="0"/>
        <v>42996.800000000003</v>
      </c>
      <c r="Q12" s="29" t="s">
        <v>293</v>
      </c>
      <c r="R12" s="27" t="s">
        <v>275</v>
      </c>
      <c r="S12" s="44">
        <f t="shared" si="1"/>
        <v>0.66010434782608696</v>
      </c>
      <c r="T12" s="24" t="s">
        <v>354</v>
      </c>
      <c r="U12" s="29" t="s">
        <v>353</v>
      </c>
      <c r="V12" s="29" t="s">
        <v>352</v>
      </c>
      <c r="W12" s="29" t="s">
        <v>351</v>
      </c>
      <c r="X12" s="29" t="s">
        <v>357</v>
      </c>
      <c r="Y12" s="25">
        <v>0</v>
      </c>
      <c r="Z12" s="16" t="s">
        <v>444</v>
      </c>
    </row>
    <row r="13" spans="2:26" ht="58.5" customHeight="1" x14ac:dyDescent="0.25">
      <c r="B13" s="29">
        <f t="shared" si="2"/>
        <v>5</v>
      </c>
      <c r="C13" s="29">
        <f>'[1]Списък към доклад'!C206</f>
        <v>59</v>
      </c>
      <c r="D13" s="29">
        <f>'[1]Списък към доклад'!D206</f>
        <v>6607</v>
      </c>
      <c r="E13" s="46" t="str">
        <f>'[1]Списък към доклад'!E206</f>
        <v>Марица</v>
      </c>
      <c r="F13" s="47" t="str">
        <f>'[1]Списък към доклад'!F206</f>
        <v>Пловдив</v>
      </c>
      <c r="G13" s="43" t="str">
        <f>'[1]Списък към доклад'!G206</f>
        <v>Обект канализация на с. Трилистник - трети етап</v>
      </c>
      <c r="H13" s="34">
        <v>2365697</v>
      </c>
      <c r="I13" s="29" t="str">
        <f>'[1]Списък към доклад'!I206</f>
        <v>ВиК</v>
      </c>
      <c r="J13" s="54" t="s">
        <v>63</v>
      </c>
      <c r="K13" s="29" t="s">
        <v>301</v>
      </c>
      <c r="L13" s="55" t="s">
        <v>112</v>
      </c>
      <c r="M13" s="55" t="s">
        <v>192</v>
      </c>
      <c r="N13" s="30">
        <f>4721983.71</f>
        <v>4721983.71</v>
      </c>
      <c r="O13" s="30">
        <f>932499.39</f>
        <v>932499.39</v>
      </c>
      <c r="P13" s="30">
        <f t="shared" si="0"/>
        <v>1433197.6099999999</v>
      </c>
      <c r="Q13" s="29" t="s">
        <v>219</v>
      </c>
      <c r="R13" s="27" t="s">
        <v>275</v>
      </c>
      <c r="S13" s="44">
        <f t="shared" si="1"/>
        <v>0.39417532760957974</v>
      </c>
      <c r="T13" s="32" t="s">
        <v>359</v>
      </c>
      <c r="U13" s="29" t="s">
        <v>353</v>
      </c>
      <c r="V13" s="29" t="s">
        <v>352</v>
      </c>
      <c r="W13" s="29" t="s">
        <v>351</v>
      </c>
      <c r="X13" s="29" t="s">
        <v>357</v>
      </c>
      <c r="Y13" s="19">
        <v>2365286</v>
      </c>
      <c r="Z13" s="23" t="s">
        <v>526</v>
      </c>
    </row>
    <row r="14" spans="2:26" ht="45" x14ac:dyDescent="0.25">
      <c r="B14" s="29">
        <f t="shared" si="2"/>
        <v>6</v>
      </c>
      <c r="C14" s="29">
        <f>'[1]Списък към доклад'!C224</f>
        <v>77</v>
      </c>
      <c r="D14" s="29">
        <f>'[1]Списък към доклад'!D224</f>
        <v>6612</v>
      </c>
      <c r="E14" s="46" t="str">
        <f>'[1]Списък към доклад'!E224</f>
        <v>Родопи</v>
      </c>
      <c r="F14" s="47" t="str">
        <f>'[1]Списък към доклад'!F224</f>
        <v>Пловдив</v>
      </c>
      <c r="G14" s="43" t="str">
        <f>'[1]Списък към доклад'!G224</f>
        <v>Канализация на село Марково - главен колектор I продължение, главни колектори II и III</v>
      </c>
      <c r="H14" s="34">
        <v>2055791</v>
      </c>
      <c r="I14" s="29" t="str">
        <f>'[1]Списък към доклад'!I224</f>
        <v>ВиК</v>
      </c>
      <c r="J14" s="54" t="s">
        <v>81</v>
      </c>
      <c r="K14" s="29" t="s">
        <v>301</v>
      </c>
      <c r="L14" s="55" t="s">
        <v>112</v>
      </c>
      <c r="M14" s="55" t="s">
        <v>168</v>
      </c>
      <c r="N14" s="30">
        <v>0</v>
      </c>
      <c r="O14" s="30">
        <v>0</v>
      </c>
      <c r="P14" s="30">
        <f t="shared" si="0"/>
        <v>2055791</v>
      </c>
      <c r="Q14" s="29"/>
      <c r="R14" s="27" t="s">
        <v>275</v>
      </c>
      <c r="S14" s="44">
        <f t="shared" si="1"/>
        <v>0</v>
      </c>
      <c r="T14" s="10" t="s">
        <v>361</v>
      </c>
      <c r="U14" s="56" t="s">
        <v>437</v>
      </c>
      <c r="V14" s="29" t="s">
        <v>357</v>
      </c>
      <c r="W14" s="29" t="s">
        <v>357</v>
      </c>
      <c r="X14" s="27" t="s">
        <v>357</v>
      </c>
      <c r="Y14" s="28">
        <v>0</v>
      </c>
      <c r="Z14" s="10" t="s">
        <v>438</v>
      </c>
    </row>
    <row r="15" spans="2:26" ht="45" x14ac:dyDescent="0.25">
      <c r="B15" s="29">
        <f t="shared" si="2"/>
        <v>7</v>
      </c>
      <c r="C15" s="29">
        <f>'[1]Списък към доклад'!C226</f>
        <v>79</v>
      </c>
      <c r="D15" s="29">
        <f>'[1]Списък към доклад'!D226</f>
        <v>6613</v>
      </c>
      <c r="E15" s="46" t="str">
        <f>'[1]Списък към доклад'!E226</f>
        <v>Садово</v>
      </c>
      <c r="F15" s="47" t="str">
        <f>'[1]Списък към доклад'!F226</f>
        <v>Пловдив</v>
      </c>
      <c r="G15" s="43" t="str">
        <f>'[1]Списък към доклад'!G226</f>
        <v>Довеждаш водопровод от водоем до село Поповица, община Садово, област Пловдив - етап 1</v>
      </c>
      <c r="H15" s="34">
        <v>131786</v>
      </c>
      <c r="I15" s="29" t="str">
        <f>'[1]Списък към доклад'!I226</f>
        <v>ВиК</v>
      </c>
      <c r="J15" s="54" t="s">
        <v>83</v>
      </c>
      <c r="K15" s="29" t="s">
        <v>301</v>
      </c>
      <c r="L15" s="55" t="s">
        <v>112</v>
      </c>
      <c r="M15" s="55" t="s">
        <v>214</v>
      </c>
      <c r="N15" s="30">
        <v>260079.83</v>
      </c>
      <c r="O15" s="30">
        <v>0</v>
      </c>
      <c r="P15" s="30">
        <f t="shared" si="0"/>
        <v>131786</v>
      </c>
      <c r="Q15" s="29" t="s">
        <v>288</v>
      </c>
      <c r="R15" s="27" t="s">
        <v>275</v>
      </c>
      <c r="S15" s="44">
        <f t="shared" si="1"/>
        <v>0</v>
      </c>
      <c r="T15" s="32" t="s">
        <v>442</v>
      </c>
      <c r="U15" s="29" t="s">
        <v>353</v>
      </c>
      <c r="V15" s="29" t="s">
        <v>363</v>
      </c>
      <c r="W15" s="29" t="s">
        <v>357</v>
      </c>
      <c r="X15" s="10" t="s">
        <v>357</v>
      </c>
      <c r="Y15" s="28">
        <f>N15-H15</f>
        <v>128293.82999999999</v>
      </c>
      <c r="Z15" s="10" t="s">
        <v>527</v>
      </c>
    </row>
    <row r="16" spans="2:26" ht="75" x14ac:dyDescent="0.25">
      <c r="B16" s="29">
        <f t="shared" si="2"/>
        <v>8</v>
      </c>
      <c r="C16" s="29">
        <f>'[1]Списък към доклад'!C236</f>
        <v>89</v>
      </c>
      <c r="D16" s="29">
        <f>'[1]Списък към доклад'!D236</f>
        <v>6614</v>
      </c>
      <c r="E16" s="46" t="str">
        <f>'[1]Списък към доклад'!E236</f>
        <v>Стамболийски</v>
      </c>
      <c r="F16" s="47" t="str">
        <f>'[1]Списък към доклад'!F236</f>
        <v>Пловдив</v>
      </c>
      <c r="G16" s="43" t="str">
        <f>'[1]Списък към доклад'!G236</f>
        <v>Реконструкция на водопроводната мрежа на гр. Стамболийски по улици Васил Левски, Кочо Честименски, Гоце Делчев, Търговска, Рила, Захари Стоянов, Хаджи Димитър, Тодор Каблешков, Антим I-ви, Генерал Гурко, Перущица</v>
      </c>
      <c r="H16" s="34">
        <v>1373008</v>
      </c>
      <c r="I16" s="29" t="str">
        <f>'[1]Списък към доклад'!I236</f>
        <v>ВиК</v>
      </c>
      <c r="J16" s="54" t="s">
        <v>93</v>
      </c>
      <c r="K16" s="29" t="s">
        <v>301</v>
      </c>
      <c r="L16" s="55" t="s">
        <v>112</v>
      </c>
      <c r="M16" s="55" t="s">
        <v>128</v>
      </c>
      <c r="N16" s="30">
        <f>2246625.69+23500+3500</f>
        <v>2273625.69</v>
      </c>
      <c r="O16" s="30">
        <v>1136812.8400000001</v>
      </c>
      <c r="P16" s="30">
        <f t="shared" si="0"/>
        <v>236195.15999999992</v>
      </c>
      <c r="Q16" s="10" t="s">
        <v>295</v>
      </c>
      <c r="R16" s="27" t="s">
        <v>275</v>
      </c>
      <c r="S16" s="44">
        <f t="shared" si="1"/>
        <v>0.82797248085954345</v>
      </c>
      <c r="T16" s="10" t="s">
        <v>362</v>
      </c>
      <c r="U16" s="29" t="s">
        <v>353</v>
      </c>
      <c r="V16" s="29" t="s">
        <v>352</v>
      </c>
      <c r="W16" s="29" t="s">
        <v>351</v>
      </c>
      <c r="X16" s="29" t="s">
        <v>357</v>
      </c>
      <c r="Y16" s="19">
        <v>900618</v>
      </c>
      <c r="Z16" s="9" t="s">
        <v>240</v>
      </c>
    </row>
    <row r="17" spans="2:26" ht="90" x14ac:dyDescent="0.25">
      <c r="B17" s="29">
        <f t="shared" si="2"/>
        <v>9</v>
      </c>
      <c r="C17" s="29">
        <f>'[1]Списък към доклад'!C245</f>
        <v>98</v>
      </c>
      <c r="D17" s="29">
        <f>'[1]Списък към доклад'!D245</f>
        <v>6616</v>
      </c>
      <c r="E17" s="46" t="str">
        <f>'[1]Списък към доклад'!E245</f>
        <v>Хисаря</v>
      </c>
      <c r="F17" s="47" t="str">
        <f>'[1]Списък към доклад'!F245</f>
        <v>Пловдив</v>
      </c>
      <c r="G17" s="43" t="str">
        <f>'[1]Списък към доклад'!G245</f>
        <v xml:space="preserve"> „Реконструкция и подмяна на част от водопроводната мрежа, включително сградни отклонения, по улици в централна градска част, кв. Веригово и кв. Момина баня - гр. Хисаря, община Хисаря“ (Разрешение за строеж № 40/05.09.2019 г. за етапно изпълнение)</v>
      </c>
      <c r="H17" s="34">
        <v>3770218</v>
      </c>
      <c r="I17" s="29" t="str">
        <f>'[1]Списък към доклад'!I245</f>
        <v>ВиК</v>
      </c>
      <c r="J17" s="54" t="s">
        <v>102</v>
      </c>
      <c r="K17" s="29" t="s">
        <v>301</v>
      </c>
      <c r="L17" s="55" t="s">
        <v>112</v>
      </c>
      <c r="M17" s="55" t="s">
        <v>193</v>
      </c>
      <c r="N17" s="30">
        <f>9000+11000+6178413.21</f>
        <v>6198413.21</v>
      </c>
      <c r="O17" s="30">
        <f>1508087.2</f>
        <v>1508087.2</v>
      </c>
      <c r="P17" s="30">
        <f t="shared" si="0"/>
        <v>2262130.7999999998</v>
      </c>
      <c r="Q17" s="29" t="s">
        <v>285</v>
      </c>
      <c r="R17" s="27" t="s">
        <v>275</v>
      </c>
      <c r="S17" s="44">
        <f t="shared" si="1"/>
        <v>0.39999999999999997</v>
      </c>
      <c r="T17" s="10" t="s">
        <v>443</v>
      </c>
      <c r="U17" s="10" t="s">
        <v>353</v>
      </c>
      <c r="V17" s="29" t="s">
        <v>352</v>
      </c>
      <c r="W17" s="10" t="s">
        <v>351</v>
      </c>
      <c r="X17" s="10" t="s">
        <v>357</v>
      </c>
      <c r="Y17" s="19">
        <v>2428195</v>
      </c>
      <c r="Z17" s="6" t="s">
        <v>528</v>
      </c>
    </row>
    <row r="18" spans="2:26" ht="45" x14ac:dyDescent="0.25">
      <c r="B18" s="29">
        <f t="shared" si="2"/>
        <v>10</v>
      </c>
      <c r="C18" s="29">
        <f>'[1]Списък към доклад'!C151</f>
        <v>4</v>
      </c>
      <c r="D18" s="29">
        <f>'[1]Списък към доклад'!D151</f>
        <v>5801</v>
      </c>
      <c r="E18" s="46" t="str">
        <f>'[1]Списък към доклад'!E151</f>
        <v>Балчик</v>
      </c>
      <c r="F18" s="47" t="str">
        <f>'[1]Списък към доклад'!F151</f>
        <v>Добрич</v>
      </c>
      <c r="G18" s="43" t="str">
        <f>'[1]Списък към доклад'!G151</f>
        <v>„Разширение и рехабилитация на водопроводната и канализационна мрежа в с.Кранево"</v>
      </c>
      <c r="H18" s="34">
        <v>224599</v>
      </c>
      <c r="I18" s="29" t="str">
        <f>'[1]Списък към доклад'!I151</f>
        <v>ВиК</v>
      </c>
      <c r="J18" s="54" t="s">
        <v>9</v>
      </c>
      <c r="K18" s="10" t="s">
        <v>302</v>
      </c>
      <c r="L18" s="55" t="s">
        <v>112</v>
      </c>
      <c r="M18" s="55" t="s">
        <v>207</v>
      </c>
      <c r="N18" s="30">
        <f>434788.63+4900+2000</f>
        <v>441688.63</v>
      </c>
      <c r="O18" s="30">
        <v>0</v>
      </c>
      <c r="P18" s="30">
        <f t="shared" si="0"/>
        <v>224599</v>
      </c>
      <c r="Q18" s="29" t="s">
        <v>325</v>
      </c>
      <c r="R18" s="10" t="s">
        <v>265</v>
      </c>
      <c r="S18" s="44">
        <f t="shared" si="1"/>
        <v>0</v>
      </c>
      <c r="T18" s="10" t="s">
        <v>385</v>
      </c>
      <c r="U18" s="29" t="s">
        <v>353</v>
      </c>
      <c r="V18" s="29" t="s">
        <v>352</v>
      </c>
      <c r="W18" s="29" t="s">
        <v>351</v>
      </c>
      <c r="X18" s="29" t="s">
        <v>357</v>
      </c>
      <c r="Y18" s="19">
        <f>N18-H18</f>
        <v>217089.63</v>
      </c>
      <c r="Z18" s="9" t="s">
        <v>447</v>
      </c>
    </row>
    <row r="19" spans="2:26" ht="60" customHeight="1" x14ac:dyDescent="0.25">
      <c r="B19" s="29">
        <f t="shared" si="2"/>
        <v>11</v>
      </c>
      <c r="C19" s="29">
        <f>'[1]Списък към доклад'!C174</f>
        <v>27</v>
      </c>
      <c r="D19" s="29">
        <f>'[1]Списък към доклад'!D174</f>
        <v>5803</v>
      </c>
      <c r="E19" s="46" t="str">
        <f>'[1]Списък към доклад'!E174</f>
        <v>Добрич</v>
      </c>
      <c r="F19" s="47" t="str">
        <f>'[1]Списък към доклад'!F174</f>
        <v>Добрич</v>
      </c>
      <c r="G19" s="43" t="str">
        <f>'[1]Списък към доклад'!G174</f>
        <v>"Битова канaлизация в кв."Рилци", гр. Добрич" - етапи II, III, IV</v>
      </c>
      <c r="H19" s="34">
        <v>5435790</v>
      </c>
      <c r="I19" s="29" t="str">
        <f>'[1]Списък към доклад'!I174</f>
        <v>ВиК</v>
      </c>
      <c r="J19" s="54" t="s">
        <v>32</v>
      </c>
      <c r="K19" s="10" t="s">
        <v>302</v>
      </c>
      <c r="L19" s="55" t="s">
        <v>112</v>
      </c>
      <c r="M19" s="55" t="s">
        <v>208</v>
      </c>
      <c r="N19" s="30">
        <f>8134962.93+177770+68200</f>
        <v>8380932.9299999997</v>
      </c>
      <c r="O19" s="30">
        <f>3253984.86</f>
        <v>3253984.86</v>
      </c>
      <c r="P19" s="30">
        <f t="shared" si="0"/>
        <v>2181805.14</v>
      </c>
      <c r="Q19" s="29" t="s">
        <v>315</v>
      </c>
      <c r="R19" s="10" t="s">
        <v>265</v>
      </c>
      <c r="S19" s="44">
        <f t="shared" si="1"/>
        <v>0.59862225361906918</v>
      </c>
      <c r="T19" s="10" t="s">
        <v>379</v>
      </c>
      <c r="U19" s="10" t="s">
        <v>351</v>
      </c>
      <c r="V19" s="29" t="s">
        <v>352</v>
      </c>
      <c r="W19" s="10" t="s">
        <v>351</v>
      </c>
      <c r="X19" s="10" t="s">
        <v>357</v>
      </c>
      <c r="Y19" s="19">
        <v>2945142</v>
      </c>
      <c r="Z19" s="9" t="s">
        <v>380</v>
      </c>
    </row>
    <row r="20" spans="2:26" ht="49.5" customHeight="1" x14ac:dyDescent="0.25">
      <c r="B20" s="29">
        <f t="shared" si="2"/>
        <v>12</v>
      </c>
      <c r="C20" s="29">
        <f>'[1]Списък към доклад'!C175</f>
        <v>28</v>
      </c>
      <c r="D20" s="29">
        <f>'[1]Списък към доклад'!D175</f>
        <v>5804</v>
      </c>
      <c r="E20" s="46" t="str">
        <f>'[1]Списък към доклад'!E175</f>
        <v>Добричка</v>
      </c>
      <c r="F20" s="47" t="str">
        <f>'[1]Списък към доклад'!F175</f>
        <v>Добрич</v>
      </c>
      <c r="G20" s="43" t="str">
        <f>'[1]Списък към доклад'!G175</f>
        <v>Строителство на обект: Рехабилитация на водопровод по ул. "Първа" с. Бранище</v>
      </c>
      <c r="H20" s="34">
        <v>107967</v>
      </c>
      <c r="I20" s="29" t="str">
        <f>'[1]Списък към доклад'!I175</f>
        <v>ВиК</v>
      </c>
      <c r="J20" s="54" t="s">
        <v>33</v>
      </c>
      <c r="K20" s="10" t="s">
        <v>302</v>
      </c>
      <c r="L20" s="55" t="s">
        <v>112</v>
      </c>
      <c r="M20" s="55" t="s">
        <v>209</v>
      </c>
      <c r="N20" s="30">
        <f>222798.1+3200+1300</f>
        <v>227298.1</v>
      </c>
      <c r="O20" s="30">
        <v>0</v>
      </c>
      <c r="P20" s="30">
        <f t="shared" si="0"/>
        <v>107967</v>
      </c>
      <c r="Q20" s="29" t="s">
        <v>319</v>
      </c>
      <c r="R20" s="10" t="s">
        <v>265</v>
      </c>
      <c r="S20" s="44">
        <f t="shared" si="1"/>
        <v>0</v>
      </c>
      <c r="T20" s="10" t="s">
        <v>384</v>
      </c>
      <c r="U20" s="10" t="s">
        <v>351</v>
      </c>
      <c r="V20" s="29" t="s">
        <v>352</v>
      </c>
      <c r="W20" s="10" t="s">
        <v>351</v>
      </c>
      <c r="X20" s="10" t="s">
        <v>357</v>
      </c>
      <c r="Y20" s="19">
        <v>114831</v>
      </c>
      <c r="Z20" s="9" t="s">
        <v>415</v>
      </c>
    </row>
    <row r="21" spans="2:26" ht="45" x14ac:dyDescent="0.25">
      <c r="B21" s="29">
        <f t="shared" si="2"/>
        <v>13</v>
      </c>
      <c r="C21" s="29">
        <f>'[1]Списък към доклад'!C196</f>
        <v>49</v>
      </c>
      <c r="D21" s="29">
        <f>'[1]Списък към доклад'!D196</f>
        <v>5806</v>
      </c>
      <c r="E21" s="46" t="str">
        <f>'[1]Списък към доклад'!E196</f>
        <v>Крушари</v>
      </c>
      <c r="F21" s="47" t="str">
        <f>'[1]Списък към доклад'!F196</f>
        <v>Добрич</v>
      </c>
      <c r="G21" s="43" t="str">
        <f>'[1]Списък към доклад'!G196</f>
        <v>Реконструкция на помпена станция и резервоари и подмяна на довеждащи водопроводи към с. Лозенец и с. Северци, община Крушари</v>
      </c>
      <c r="H21" s="34">
        <v>1024023</v>
      </c>
      <c r="I21" s="29" t="str">
        <f>'[1]Списък към доклад'!I196</f>
        <v>ВиК</v>
      </c>
      <c r="J21" s="54" t="s">
        <v>53</v>
      </c>
      <c r="K21" s="10" t="s">
        <v>302</v>
      </c>
      <c r="L21" s="55" t="s">
        <v>112</v>
      </c>
      <c r="M21" s="55" t="s">
        <v>134</v>
      </c>
      <c r="N21" s="30">
        <f>2048042.06+5500+15000</f>
        <v>2068542.06</v>
      </c>
      <c r="O21" s="30">
        <v>585154.88</v>
      </c>
      <c r="P21" s="30">
        <f t="shared" si="0"/>
        <v>438868.12</v>
      </c>
      <c r="Q21" s="29" t="s">
        <v>266</v>
      </c>
      <c r="R21" s="27" t="s">
        <v>275</v>
      </c>
      <c r="S21" s="44">
        <f t="shared" si="1"/>
        <v>0.57142747770313751</v>
      </c>
      <c r="T21" s="10" t="s">
        <v>383</v>
      </c>
      <c r="U21" s="10" t="s">
        <v>351</v>
      </c>
      <c r="V21" s="10" t="s">
        <v>352</v>
      </c>
      <c r="W21" s="10" t="s">
        <v>353</v>
      </c>
      <c r="X21" s="10" t="s">
        <v>357</v>
      </c>
      <c r="Y21" s="19">
        <f>N21-H21</f>
        <v>1044519.06</v>
      </c>
      <c r="Z21" s="9" t="s">
        <v>416</v>
      </c>
    </row>
    <row r="22" spans="2:26" ht="30" x14ac:dyDescent="0.25">
      <c r="B22" s="29">
        <f t="shared" si="2"/>
        <v>14</v>
      </c>
      <c r="C22" s="29">
        <f>'[1]Списък към доклад'!C249</f>
        <v>102</v>
      </c>
      <c r="D22" s="29">
        <f>'[1]Списък към доклад'!D249</f>
        <v>5808</v>
      </c>
      <c r="E22" s="46" t="str">
        <f>'[1]Списък към доклад'!E249</f>
        <v>Шабла</v>
      </c>
      <c r="F22" s="47" t="str">
        <f>'[1]Списък към доклад'!F249</f>
        <v>Добрич</v>
      </c>
      <c r="G22" s="43" t="str">
        <f>'[1]Списък към доклад'!G249</f>
        <v>Реконструкция на водопровод и рехабилитация на ул. Добруджа, гр. Шабла, община Шабла - част ВиК</v>
      </c>
      <c r="H22" s="34">
        <v>908565</v>
      </c>
      <c r="I22" s="29" t="str">
        <f>'[1]Списък към доклад'!I249</f>
        <v>ВиК</v>
      </c>
      <c r="J22" s="54" t="s">
        <v>106</v>
      </c>
      <c r="K22" s="10" t="s">
        <v>302</v>
      </c>
      <c r="L22" s="55" t="s">
        <v>112</v>
      </c>
      <c r="M22" s="55" t="s">
        <v>191</v>
      </c>
      <c r="N22" s="30">
        <v>0</v>
      </c>
      <c r="O22" s="30">
        <v>0</v>
      </c>
      <c r="P22" s="30">
        <f t="shared" si="0"/>
        <v>908565</v>
      </c>
      <c r="Q22" s="29" t="s">
        <v>316</v>
      </c>
      <c r="R22" s="10" t="s">
        <v>265</v>
      </c>
      <c r="S22" s="44">
        <f t="shared" si="1"/>
        <v>0</v>
      </c>
      <c r="T22" s="10" t="s">
        <v>378</v>
      </c>
      <c r="U22" s="10" t="s">
        <v>545</v>
      </c>
      <c r="V22" s="10" t="s">
        <v>357</v>
      </c>
      <c r="W22" s="10" t="s">
        <v>357</v>
      </c>
      <c r="X22" s="10" t="s">
        <v>357</v>
      </c>
      <c r="Y22" s="19">
        <v>0</v>
      </c>
      <c r="Z22" s="8" t="s">
        <v>317</v>
      </c>
    </row>
    <row r="23" spans="2:26" ht="30" x14ac:dyDescent="0.25">
      <c r="B23" s="29">
        <f t="shared" si="2"/>
        <v>15</v>
      </c>
      <c r="C23" s="29">
        <f>'[1]Списък към доклад'!C183</f>
        <v>36</v>
      </c>
      <c r="D23" s="29">
        <f>'[1]Списък към доклад'!D183</f>
        <v>6402</v>
      </c>
      <c r="E23" s="46" t="str">
        <f>'[1]Списък към доклад'!E183</f>
        <v>Земен</v>
      </c>
      <c r="F23" s="47" t="str">
        <f>'[1]Списък към доклад'!F183</f>
        <v>Перник</v>
      </c>
      <c r="G23" s="43" t="str">
        <f>'[1]Списък към доклад'!G183</f>
        <v>Реконструкция на вътрешна водопроводна мрежа в гр. Земен</v>
      </c>
      <c r="H23" s="34">
        <v>2510024</v>
      </c>
      <c r="I23" s="29" t="str">
        <f>'[1]Списък към доклад'!I183</f>
        <v>ВиК</v>
      </c>
      <c r="J23" s="54" t="s">
        <v>41</v>
      </c>
      <c r="K23" s="10" t="s">
        <v>303</v>
      </c>
      <c r="L23" s="55" t="s">
        <v>112</v>
      </c>
      <c r="M23" s="55" t="s">
        <v>113</v>
      </c>
      <c r="N23" s="30">
        <f>5144389.87+132400</f>
        <v>5276789.87</v>
      </c>
      <c r="O23" s="30">
        <f>1033906.14+1037070.93</f>
        <v>2070977.07</v>
      </c>
      <c r="P23" s="30">
        <f t="shared" si="0"/>
        <v>439046.92999999993</v>
      </c>
      <c r="Q23" s="29" t="s">
        <v>252</v>
      </c>
      <c r="R23" s="10" t="s">
        <v>267</v>
      </c>
      <c r="S23" s="44">
        <f t="shared" si="1"/>
        <v>0.82508257689966313</v>
      </c>
      <c r="T23" s="10"/>
      <c r="U23" s="10" t="s">
        <v>351</v>
      </c>
      <c r="V23" s="29" t="s">
        <v>352</v>
      </c>
      <c r="W23" s="10" t="s">
        <v>351</v>
      </c>
      <c r="X23" s="10" t="s">
        <v>357</v>
      </c>
      <c r="Y23" s="19">
        <f>N23-H23</f>
        <v>2766765.87</v>
      </c>
      <c r="Z23" s="8" t="s">
        <v>418</v>
      </c>
    </row>
    <row r="24" spans="2:26" ht="60" x14ac:dyDescent="0.25">
      <c r="B24" s="29">
        <f t="shared" si="2"/>
        <v>16</v>
      </c>
      <c r="C24" s="29">
        <f>'[1]Списък към доклад'!C218</f>
        <v>71</v>
      </c>
      <c r="D24" s="29">
        <f>'[1]Списък към доклад'!D218</f>
        <v>6404</v>
      </c>
      <c r="E24" s="46" t="str">
        <f>'[1]Списък към доклад'!E218</f>
        <v>Перник</v>
      </c>
      <c r="F24" s="47" t="str">
        <f>'[1]Списък към доклад'!F218</f>
        <v>Перник</v>
      </c>
      <c r="G24" s="43" t="str">
        <f>'[1]Списък към доклад'!G218</f>
        <v>Изграждане на улична водопроводна мрежа на с. Ярджиловци - II - ри етап, община Перник, с. Ярджиловци</v>
      </c>
      <c r="H24" s="34">
        <v>1174920</v>
      </c>
      <c r="I24" s="29" t="str">
        <f>'[1]Списък към доклад'!I218</f>
        <v>ВиК</v>
      </c>
      <c r="J24" s="54" t="s">
        <v>75</v>
      </c>
      <c r="K24" s="10" t="s">
        <v>303</v>
      </c>
      <c r="L24" s="55" t="s">
        <v>112</v>
      </c>
      <c r="M24" s="55" t="s">
        <v>190</v>
      </c>
      <c r="N24" s="30">
        <v>0</v>
      </c>
      <c r="O24" s="30">
        <v>0</v>
      </c>
      <c r="P24" s="30">
        <f t="shared" si="0"/>
        <v>1174920</v>
      </c>
      <c r="Q24" s="29"/>
      <c r="R24" s="10" t="s">
        <v>265</v>
      </c>
      <c r="S24" s="44">
        <f t="shared" si="1"/>
        <v>0</v>
      </c>
      <c r="T24" s="10"/>
      <c r="U24" s="10" t="s">
        <v>419</v>
      </c>
      <c r="V24" s="10" t="s">
        <v>357</v>
      </c>
      <c r="W24" s="10" t="s">
        <v>357</v>
      </c>
      <c r="X24" s="10" t="s">
        <v>357</v>
      </c>
      <c r="Y24" s="19">
        <v>0</v>
      </c>
      <c r="Z24" s="8" t="s">
        <v>420</v>
      </c>
    </row>
    <row r="25" spans="2:26" ht="57.75" customHeight="1" x14ac:dyDescent="0.25">
      <c r="B25" s="29">
        <f t="shared" si="2"/>
        <v>17</v>
      </c>
      <c r="C25" s="29">
        <f>'[1]Списък към доклад'!C221</f>
        <v>74</v>
      </c>
      <c r="D25" s="29">
        <f>'[1]Списък към доклад'!D221</f>
        <v>6405</v>
      </c>
      <c r="E25" s="46" t="str">
        <f>'[1]Списък към доклад'!E221</f>
        <v>Радомир</v>
      </c>
      <c r="F25" s="47" t="str">
        <f>'[1]Списък към доклад'!F221</f>
        <v>Перник</v>
      </c>
      <c r="G25" s="43" t="str">
        <f>'[1]Списък към доклад'!G221</f>
        <v>Ремонт и реконструкция на вътрешна водопроводна мрежа в с. Извор, община Радомир, област Перник</v>
      </c>
      <c r="H25" s="34">
        <v>1754007</v>
      </c>
      <c r="I25" s="29" t="str">
        <f>'[1]Списък към доклад'!I221</f>
        <v>ВиК</v>
      </c>
      <c r="J25" s="54" t="s">
        <v>78</v>
      </c>
      <c r="K25" s="10" t="s">
        <v>303</v>
      </c>
      <c r="L25" s="55" t="s">
        <v>112</v>
      </c>
      <c r="M25" s="55" t="s">
        <v>262</v>
      </c>
      <c r="N25" s="30">
        <f>5319312.75+27815+10500</f>
        <v>5357627.75</v>
      </c>
      <c r="O25" s="30">
        <v>0</v>
      </c>
      <c r="P25" s="30">
        <f t="shared" si="0"/>
        <v>1754007</v>
      </c>
      <c r="Q25" s="29" t="s">
        <v>258</v>
      </c>
      <c r="R25" s="10" t="s">
        <v>268</v>
      </c>
      <c r="S25" s="44">
        <f t="shared" si="1"/>
        <v>0</v>
      </c>
      <c r="T25" s="10" t="s">
        <v>441</v>
      </c>
      <c r="U25" s="10" t="s">
        <v>351</v>
      </c>
      <c r="V25" s="29" t="s">
        <v>352</v>
      </c>
      <c r="W25" s="10" t="s">
        <v>351</v>
      </c>
      <c r="X25" s="10" t="s">
        <v>357</v>
      </c>
      <c r="Y25" s="19">
        <v>0</v>
      </c>
      <c r="Z25" s="9" t="s">
        <v>516</v>
      </c>
    </row>
    <row r="26" spans="2:26" ht="63" customHeight="1" x14ac:dyDescent="0.25">
      <c r="B26" s="29">
        <f t="shared" si="2"/>
        <v>18</v>
      </c>
      <c r="C26" s="29">
        <f>'[1]Списък към доклад'!C222</f>
        <v>75</v>
      </c>
      <c r="D26" s="29">
        <f>'[1]Списък към доклад'!D222</f>
        <v>6705</v>
      </c>
      <c r="E26" s="46" t="str">
        <f>'[1]Списък към доклад'!E222</f>
        <v>Разград</v>
      </c>
      <c r="F26" s="47" t="str">
        <f>'[1]Списък към доклад'!F222</f>
        <v>Разград</v>
      </c>
      <c r="G26" s="43" t="str">
        <f>'[1]Списък към доклад'!G222</f>
        <v>Реконструкция на улични водопроводи и сградни отклонения в югозападната част на град Разград</v>
      </c>
      <c r="H26" s="34">
        <v>2651569</v>
      </c>
      <c r="I26" s="29" t="str">
        <f>'[1]Списък към доклад'!I222</f>
        <v>ВиК</v>
      </c>
      <c r="J26" s="54" t="s">
        <v>79</v>
      </c>
      <c r="K26" s="10" t="s">
        <v>304</v>
      </c>
      <c r="L26" s="55" t="s">
        <v>112</v>
      </c>
      <c r="M26" s="55" t="s">
        <v>177</v>
      </c>
      <c r="N26" s="30">
        <f>2221494.94+1299955.85+840566.94+750455.77+22500+53000</f>
        <v>5187973.5</v>
      </c>
      <c r="O26" s="30">
        <v>1180000</v>
      </c>
      <c r="P26" s="30">
        <f t="shared" si="0"/>
        <v>1471569</v>
      </c>
      <c r="Q26" s="29"/>
      <c r="R26" s="10" t="s">
        <v>272</v>
      </c>
      <c r="S26" s="44">
        <f t="shared" si="1"/>
        <v>0.44501953371758379</v>
      </c>
      <c r="T26" s="10" t="s">
        <v>371</v>
      </c>
      <c r="U26" s="10" t="s">
        <v>351</v>
      </c>
      <c r="V26" s="29" t="s">
        <v>352</v>
      </c>
      <c r="W26" s="10" t="s">
        <v>351</v>
      </c>
      <c r="X26" s="10" t="s">
        <v>357</v>
      </c>
      <c r="Y26" s="19">
        <f>N26-H26</f>
        <v>2536404.5</v>
      </c>
      <c r="Z26" s="9" t="s">
        <v>452</v>
      </c>
    </row>
    <row r="27" spans="2:26" ht="78.75" customHeight="1" x14ac:dyDescent="0.25">
      <c r="B27" s="29">
        <f t="shared" si="2"/>
        <v>19</v>
      </c>
      <c r="C27" s="29">
        <f>'[1]Списък към доклад'!C155</f>
        <v>8</v>
      </c>
      <c r="D27" s="29">
        <f>'[1]Списък към доклад'!D155</f>
        <v>6001</v>
      </c>
      <c r="E27" s="46" t="str">
        <f>'[1]Списък към доклад'!E155</f>
        <v>Бобовдол</v>
      </c>
      <c r="F27" s="47" t="str">
        <f>'[1]Списък към доклад'!F155</f>
        <v>Кюстендил</v>
      </c>
      <c r="G27" s="43" t="str">
        <f>'[1]Списък към доклад'!G155</f>
        <v>Реконструкция и рехабилитация на водопроводната мрежа в кв. "Миньор" и ул. "Св. Спас", гр. Бобов дол, общ. Бобов дол</v>
      </c>
      <c r="H27" s="34">
        <v>995030</v>
      </c>
      <c r="I27" s="29" t="str">
        <f>'[1]Списък към доклад'!I155</f>
        <v>ВиК</v>
      </c>
      <c r="J27" s="54" t="s">
        <v>13</v>
      </c>
      <c r="K27" s="10" t="s">
        <v>304</v>
      </c>
      <c r="L27" s="55" t="s">
        <v>112</v>
      </c>
      <c r="M27" s="55" t="s">
        <v>114</v>
      </c>
      <c r="N27" s="30">
        <f>1917182+34500+9589.28+11400</f>
        <v>1972671.28</v>
      </c>
      <c r="O27" s="30">
        <v>958591</v>
      </c>
      <c r="P27" s="30">
        <f t="shared" si="0"/>
        <v>36439</v>
      </c>
      <c r="Q27" s="29" t="s">
        <v>227</v>
      </c>
      <c r="R27" s="10" t="s">
        <v>269</v>
      </c>
      <c r="S27" s="44">
        <f t="shared" si="1"/>
        <v>0.96337899359818302</v>
      </c>
      <c r="T27" s="10" t="s">
        <v>365</v>
      </c>
      <c r="U27" s="10" t="s">
        <v>351</v>
      </c>
      <c r="V27" s="10" t="s">
        <v>352</v>
      </c>
      <c r="W27" s="10" t="s">
        <v>353</v>
      </c>
      <c r="X27" s="10" t="s">
        <v>357</v>
      </c>
      <c r="Y27" s="19">
        <v>977641</v>
      </c>
      <c r="Z27" s="9" t="s">
        <v>366</v>
      </c>
    </row>
    <row r="28" spans="2:26" ht="75" x14ac:dyDescent="0.25">
      <c r="B28" s="29">
        <f t="shared" si="2"/>
        <v>20</v>
      </c>
      <c r="C28" s="29">
        <f>'[1]Списък към доклад'!C187</f>
        <v>40</v>
      </c>
      <c r="D28" s="29">
        <f>'[1]Списък към доклад'!D187</f>
        <v>6904</v>
      </c>
      <c r="E28" s="46" t="str">
        <f>'[1]Списък към доклад'!E187</f>
        <v>Кайнарджа</v>
      </c>
      <c r="F28" s="47" t="str">
        <f>'[1]Списък към доклад'!F187</f>
        <v>Силистра</v>
      </c>
      <c r="G28" s="43" t="str">
        <f>'[1]Списък към доклад'!G187</f>
        <v>Реконструкция и доизграждане на част от водоснабдителните системи и съоръжения в осем населени места. Подобект: Новопроектирана водопроводна мрежа с. Добруджанка, община Кайнарджа</v>
      </c>
      <c r="H28" s="34">
        <v>428632</v>
      </c>
      <c r="I28" s="29" t="str">
        <f>'[1]Списък към доклад'!I187</f>
        <v>ВиК</v>
      </c>
      <c r="J28" s="54" t="s">
        <v>45</v>
      </c>
      <c r="K28" s="10" t="s">
        <v>304</v>
      </c>
      <c r="L28" s="55" t="s">
        <v>112</v>
      </c>
      <c r="M28" s="55" t="s">
        <v>178</v>
      </c>
      <c r="N28" s="30">
        <v>0</v>
      </c>
      <c r="O28" s="30">
        <v>0</v>
      </c>
      <c r="P28" s="30">
        <f t="shared" si="0"/>
        <v>428632</v>
      </c>
      <c r="Q28" s="29"/>
      <c r="R28" s="10" t="s">
        <v>270</v>
      </c>
      <c r="S28" s="44">
        <f t="shared" si="1"/>
        <v>0</v>
      </c>
      <c r="T28" s="10" t="s">
        <v>453</v>
      </c>
      <c r="U28" s="10" t="s">
        <v>357</v>
      </c>
      <c r="V28" s="10" t="s">
        <v>357</v>
      </c>
      <c r="W28" s="10" t="s">
        <v>357</v>
      </c>
      <c r="X28" s="10" t="s">
        <v>357</v>
      </c>
      <c r="Y28" s="19">
        <v>0</v>
      </c>
      <c r="Z28" s="6" t="s">
        <v>454</v>
      </c>
    </row>
    <row r="29" spans="2:26" ht="57.75" customHeight="1" x14ac:dyDescent="0.25">
      <c r="B29" s="29">
        <f t="shared" si="2"/>
        <v>21</v>
      </c>
      <c r="C29" s="29">
        <f>'[1]Списък към доклад'!C166</f>
        <v>19</v>
      </c>
      <c r="D29" s="29">
        <f>'[1]Списък към доклад'!D166</f>
        <v>7703</v>
      </c>
      <c r="E29" s="46" t="str">
        <f>'[1]Списък към доклад'!E166</f>
        <v>Върбица</v>
      </c>
      <c r="F29" s="47" t="str">
        <f>'[1]Списък към доклад'!F166</f>
        <v>Шумен</v>
      </c>
      <c r="G29" s="43" t="str">
        <f>'[1]Списък към доклад'!G166</f>
        <v>„Реконструкция на съществуващ довеждащ водопровод от местността „Рибника” до с.Тушовица”</v>
      </c>
      <c r="H29" s="34">
        <v>1633259</v>
      </c>
      <c r="I29" s="29" t="str">
        <f>'[1]Списък към доклад'!I166</f>
        <v>ВиК</v>
      </c>
      <c r="J29" s="54" t="s">
        <v>24</v>
      </c>
      <c r="K29" s="10" t="s">
        <v>304</v>
      </c>
      <c r="L29" s="55" t="s">
        <v>112</v>
      </c>
      <c r="M29" s="55" t="s">
        <v>115</v>
      </c>
      <c r="N29" s="30">
        <f>3197083.72+20000+3000</f>
        <v>3220083.72</v>
      </c>
      <c r="O29" s="30">
        <v>834021.84</v>
      </c>
      <c r="P29" s="30">
        <f t="shared" si="0"/>
        <v>799237.16</v>
      </c>
      <c r="Q29" s="29"/>
      <c r="R29" s="10" t="s">
        <v>270</v>
      </c>
      <c r="S29" s="44">
        <f t="shared" si="1"/>
        <v>0.51064885606018395</v>
      </c>
      <c r="T29" s="10" t="s">
        <v>367</v>
      </c>
      <c r="U29" s="10" t="s">
        <v>351</v>
      </c>
      <c r="V29" s="10" t="s">
        <v>352</v>
      </c>
      <c r="W29" s="10" t="s">
        <v>351</v>
      </c>
      <c r="X29" s="10" t="s">
        <v>357</v>
      </c>
      <c r="Y29" s="19">
        <v>1586824</v>
      </c>
      <c r="Z29" s="9" t="s">
        <v>477</v>
      </c>
    </row>
    <row r="30" spans="2:26" ht="51.75" customHeight="1" x14ac:dyDescent="0.25">
      <c r="B30" s="29">
        <f t="shared" si="2"/>
        <v>22</v>
      </c>
      <c r="C30" s="29">
        <f>'[1]Списък към доклад'!C189</f>
        <v>42</v>
      </c>
      <c r="D30" s="29">
        <f>'[1]Списък към доклад'!D189</f>
        <v>7704</v>
      </c>
      <c r="E30" s="46" t="str">
        <f>'[1]Списък към доклад'!E189</f>
        <v>Каолиново</v>
      </c>
      <c r="F30" s="47" t="str">
        <f>'[1]Списък към доклад'!F189</f>
        <v>Шумен</v>
      </c>
      <c r="G30" s="43" t="str">
        <f>'[1]Списък към доклад'!G189</f>
        <v>Реконструкция на водоснабдителна система "Тодор Икономово"</v>
      </c>
      <c r="H30" s="34">
        <v>721929</v>
      </c>
      <c r="I30" s="29" t="str">
        <f>'[1]Списък към доклад'!I189</f>
        <v>ВиК</v>
      </c>
      <c r="J30" s="54" t="s">
        <v>47</v>
      </c>
      <c r="K30" s="10" t="s">
        <v>304</v>
      </c>
      <c r="L30" s="55" t="s">
        <v>112</v>
      </c>
      <c r="M30" s="55" t="s">
        <v>206</v>
      </c>
      <c r="N30" s="30">
        <f>1393209.3+9750+20900</f>
        <v>1423859.3</v>
      </c>
      <c r="O30" s="30">
        <v>0</v>
      </c>
      <c r="P30" s="30">
        <f t="shared" si="0"/>
        <v>721929</v>
      </c>
      <c r="Q30" s="29" t="s">
        <v>253</v>
      </c>
      <c r="R30" s="10" t="s">
        <v>270</v>
      </c>
      <c r="S30" s="44">
        <f t="shared" si="1"/>
        <v>0</v>
      </c>
      <c r="T30" s="10" t="s">
        <v>368</v>
      </c>
      <c r="U30" s="10" t="s">
        <v>351</v>
      </c>
      <c r="V30" s="10" t="s">
        <v>352</v>
      </c>
      <c r="W30" s="10" t="s">
        <v>351</v>
      </c>
      <c r="X30" s="10" t="s">
        <v>357</v>
      </c>
      <c r="Y30" s="19">
        <v>701930</v>
      </c>
      <c r="Z30" s="8" t="s">
        <v>449</v>
      </c>
    </row>
    <row r="31" spans="2:26" ht="288.75" customHeight="1" x14ac:dyDescent="0.25">
      <c r="B31" s="29">
        <f t="shared" si="2"/>
        <v>23</v>
      </c>
      <c r="C31" s="29">
        <f>'[1]Списък към доклад'!C192</f>
        <v>45</v>
      </c>
      <c r="D31" s="29">
        <f>'[1]Списък към доклад'!D192</f>
        <v>7705</v>
      </c>
      <c r="E31" s="46" t="str">
        <f>'[1]Списък към доклад'!E192</f>
        <v>Каспичан</v>
      </c>
      <c r="F31" s="47" t="str">
        <f>'[1]Списък към доклад'!F192</f>
        <v>Шумен</v>
      </c>
      <c r="G31" s="43" t="s">
        <v>342</v>
      </c>
      <c r="H31" s="34">
        <v>162557</v>
      </c>
      <c r="I31" s="29" t="str">
        <f>'[1]Списък към доклад'!I192</f>
        <v>ВиК</v>
      </c>
      <c r="J31" s="54" t="s">
        <v>49</v>
      </c>
      <c r="K31" s="10" t="s">
        <v>304</v>
      </c>
      <c r="L31" s="55" t="s">
        <v>112</v>
      </c>
      <c r="M31" s="57" t="s">
        <v>370</v>
      </c>
      <c r="N31" s="30">
        <f>1500</f>
        <v>1500</v>
      </c>
      <c r="O31" s="30">
        <v>0</v>
      </c>
      <c r="P31" s="30">
        <f t="shared" si="0"/>
        <v>162557</v>
      </c>
      <c r="Q31" s="29" t="s">
        <v>234</v>
      </c>
      <c r="R31" s="10" t="s">
        <v>270</v>
      </c>
      <c r="S31" s="44">
        <f t="shared" si="1"/>
        <v>0</v>
      </c>
      <c r="T31" s="10" t="s">
        <v>369</v>
      </c>
      <c r="U31" s="10" t="s">
        <v>448</v>
      </c>
      <c r="V31" s="10" t="s">
        <v>364</v>
      </c>
      <c r="W31" s="10" t="s">
        <v>357</v>
      </c>
      <c r="X31" s="10" t="s">
        <v>357</v>
      </c>
      <c r="Y31" s="19">
        <v>0</v>
      </c>
      <c r="Z31" s="9" t="s">
        <v>478</v>
      </c>
    </row>
    <row r="32" spans="2:26" ht="64.5" customHeight="1" x14ac:dyDescent="0.25">
      <c r="B32" s="29">
        <f t="shared" si="2"/>
        <v>24</v>
      </c>
      <c r="C32" s="29">
        <f>'[1]Списък към доклад'!C246</f>
        <v>99</v>
      </c>
      <c r="D32" s="29">
        <f>'[1]Списък към доклад'!D246</f>
        <v>7709</v>
      </c>
      <c r="E32" s="46" t="str">
        <f>'[1]Списък към доклад'!E246</f>
        <v>Хитрино</v>
      </c>
      <c r="F32" s="47" t="str">
        <f>'[1]Списък към доклад'!F246</f>
        <v>Шумен</v>
      </c>
      <c r="G32" s="43" t="str">
        <f>'[1]Списък към доклад'!G246</f>
        <v>Реконструкция на вътрешната водопроводна мрежа на с. Каменяк, община Хитрино, област Шумен - втори етап</v>
      </c>
      <c r="H32" s="34">
        <v>423992</v>
      </c>
      <c r="I32" s="29" t="str">
        <f>'[1]Списък към доклад'!I246</f>
        <v>ВиК</v>
      </c>
      <c r="J32" s="54" t="s">
        <v>103</v>
      </c>
      <c r="K32" s="10" t="s">
        <v>304</v>
      </c>
      <c r="L32" s="55" t="s">
        <v>112</v>
      </c>
      <c r="M32" s="55" t="s">
        <v>116</v>
      </c>
      <c r="N32" s="30">
        <v>1143603.05</v>
      </c>
      <c r="O32" s="30">
        <v>336277.02</v>
      </c>
      <c r="P32" s="30">
        <f t="shared" si="0"/>
        <v>87714.979999999981</v>
      </c>
      <c r="Q32" s="29"/>
      <c r="R32" s="10" t="s">
        <v>270</v>
      </c>
      <c r="S32" s="44">
        <f t="shared" si="1"/>
        <v>0.79312114379516596</v>
      </c>
      <c r="T32" s="10" t="s">
        <v>372</v>
      </c>
      <c r="U32" s="10" t="s">
        <v>351</v>
      </c>
      <c r="V32" s="10" t="s">
        <v>352</v>
      </c>
      <c r="W32" s="10" t="s">
        <v>351</v>
      </c>
      <c r="X32" s="10" t="s">
        <v>357</v>
      </c>
      <c r="Y32" s="19">
        <f>N32-H32</f>
        <v>719611.05</v>
      </c>
      <c r="Z32" s="9" t="s">
        <v>479</v>
      </c>
    </row>
    <row r="33" spans="2:26" ht="44.25" customHeight="1" x14ac:dyDescent="0.25">
      <c r="B33" s="29">
        <f t="shared" si="2"/>
        <v>25</v>
      </c>
      <c r="C33" s="29">
        <f>'[1]Списък към доклад'!C153</f>
        <v>6</v>
      </c>
      <c r="D33" s="29">
        <f>'[1]Списък към доклад'!D153</f>
        <v>5501</v>
      </c>
      <c r="E33" s="46" t="str">
        <f>'[1]Списък към доклад'!E153</f>
        <v>Белоградчик</v>
      </c>
      <c r="F33" s="47" t="str">
        <f>'[1]Списък към доклад'!F153</f>
        <v>Видин</v>
      </c>
      <c r="G33" s="43" t="str">
        <f>'[1]Списък към доклад'!G153</f>
        <v>Реконструкция на част от вътрешната водопроводна мрежа на град Белоградчик ”</v>
      </c>
      <c r="H33" s="34">
        <v>371870</v>
      </c>
      <c r="I33" s="29" t="str">
        <f>'[1]Списък към доклад'!I153</f>
        <v>ВиК</v>
      </c>
      <c r="J33" s="54" t="s">
        <v>11</v>
      </c>
      <c r="K33" s="29" t="s">
        <v>305</v>
      </c>
      <c r="L33" s="55" t="s">
        <v>112</v>
      </c>
      <c r="M33" s="55" t="s">
        <v>263</v>
      </c>
      <c r="N33" s="30">
        <f>478126.46+111915.84+126155.01+6260</f>
        <v>722457.31</v>
      </c>
      <c r="O33" s="30">
        <v>0</v>
      </c>
      <c r="P33" s="30">
        <f t="shared" si="0"/>
        <v>371870</v>
      </c>
      <c r="Q33" s="29" t="s">
        <v>222</v>
      </c>
      <c r="R33" s="10" t="s">
        <v>269</v>
      </c>
      <c r="S33" s="44">
        <f t="shared" si="1"/>
        <v>0</v>
      </c>
      <c r="T33" s="10" t="s">
        <v>507</v>
      </c>
      <c r="U33" s="10" t="s">
        <v>351</v>
      </c>
      <c r="V33" s="10" t="s">
        <v>352</v>
      </c>
      <c r="W33" s="10" t="s">
        <v>351</v>
      </c>
      <c r="X33" s="10" t="s">
        <v>357</v>
      </c>
      <c r="Y33" s="19">
        <v>350587</v>
      </c>
      <c r="Z33" s="10" t="s">
        <v>341</v>
      </c>
    </row>
    <row r="34" spans="2:26" ht="54" customHeight="1" x14ac:dyDescent="0.25">
      <c r="B34" s="29">
        <f t="shared" si="2"/>
        <v>26</v>
      </c>
      <c r="C34" s="29">
        <f>'[1]Списък към доклад'!C171</f>
        <v>24</v>
      </c>
      <c r="D34" s="29">
        <f>'[1]Списък към доклад'!D171</f>
        <v>5505</v>
      </c>
      <c r="E34" s="46" t="str">
        <f>'[1]Списък към доклад'!E171</f>
        <v>Грамада</v>
      </c>
      <c r="F34" s="47" t="str">
        <f>'[1]Списък към доклад'!F171</f>
        <v>Видин</v>
      </c>
      <c r="G34" s="43" t="str">
        <f>'[1]Списък към доклад'!G171</f>
        <v>Реконструкция външен водопровод на гр. Грамада - от помпена станция "Бояново" до напорен резервоар "Грамада"</v>
      </c>
      <c r="H34" s="34">
        <v>801837</v>
      </c>
      <c r="I34" s="29" t="str">
        <f>'[1]Списък към доклад'!I171</f>
        <v>ВиК</v>
      </c>
      <c r="J34" s="54" t="s">
        <v>29</v>
      </c>
      <c r="K34" s="29" t="s">
        <v>305</v>
      </c>
      <c r="L34" s="55" t="s">
        <v>112</v>
      </c>
      <c r="M34" s="55" t="s">
        <v>117</v>
      </c>
      <c r="N34" s="30">
        <f>1603029.95+7000+16450</f>
        <v>1626479.95</v>
      </c>
      <c r="O34" s="30">
        <v>801837</v>
      </c>
      <c r="P34" s="30">
        <f t="shared" si="0"/>
        <v>0</v>
      </c>
      <c r="Q34" s="29" t="s">
        <v>276</v>
      </c>
      <c r="R34" s="10" t="s">
        <v>270</v>
      </c>
      <c r="S34" s="44">
        <f t="shared" si="1"/>
        <v>1</v>
      </c>
      <c r="T34" s="10" t="s">
        <v>508</v>
      </c>
      <c r="U34" s="10" t="s">
        <v>351</v>
      </c>
      <c r="V34" s="10" t="s">
        <v>352</v>
      </c>
      <c r="W34" s="10" t="s">
        <v>351</v>
      </c>
      <c r="X34" s="10" t="s">
        <v>357</v>
      </c>
      <c r="Y34" s="14">
        <v>801837</v>
      </c>
      <c r="Z34" s="10" t="s">
        <v>535</v>
      </c>
    </row>
    <row r="35" spans="2:26" ht="62.25" customHeight="1" x14ac:dyDescent="0.25">
      <c r="B35" s="29">
        <f t="shared" si="2"/>
        <v>27</v>
      </c>
      <c r="C35" s="29">
        <f>'[1]Списък към доклад'!C213</f>
        <v>66</v>
      </c>
      <c r="D35" s="29">
        <f>'[1]Списък към доклад'!D213</f>
        <v>7002</v>
      </c>
      <c r="E35" s="46" t="str">
        <f>'[1]Списък към доклад'!E213</f>
        <v>Нова Загора</v>
      </c>
      <c r="F35" s="47" t="str">
        <f>'[1]Списък към доклад'!F213</f>
        <v>Сливен</v>
      </c>
      <c r="G35" s="43" t="str">
        <f>'[1]Списък към доклад'!G213</f>
        <v>Реконструкция на вътрешната водопроводна мрежа и основен ремонт на ул. "Шипка" от ул. "Кънчо Чамов" до ул. "Изворна", гр. Нова Загора - част ВиК</v>
      </c>
      <c r="H35" s="34">
        <v>557221</v>
      </c>
      <c r="I35" s="29" t="str">
        <f>'[1]Списък към доклад'!I213</f>
        <v>ВиК</v>
      </c>
      <c r="J35" s="54" t="s">
        <v>70</v>
      </c>
      <c r="K35" s="29" t="s">
        <v>305</v>
      </c>
      <c r="L35" s="55" t="s">
        <v>112</v>
      </c>
      <c r="M35" s="55" t="s">
        <v>133</v>
      </c>
      <c r="N35" s="30">
        <f>1000+5000+1114440.5</f>
        <v>1120440.5</v>
      </c>
      <c r="O35" s="30">
        <f>0</f>
        <v>0</v>
      </c>
      <c r="P35" s="30">
        <f t="shared" si="0"/>
        <v>557221</v>
      </c>
      <c r="Q35" s="10" t="s">
        <v>279</v>
      </c>
      <c r="R35" s="10" t="s">
        <v>270</v>
      </c>
      <c r="S35" s="44">
        <f t="shared" si="1"/>
        <v>0</v>
      </c>
      <c r="T35" s="10" t="s">
        <v>509</v>
      </c>
      <c r="U35" s="10" t="s">
        <v>351</v>
      </c>
      <c r="V35" s="10" t="s">
        <v>352</v>
      </c>
      <c r="W35" s="10" t="s">
        <v>351</v>
      </c>
      <c r="X35" s="10" t="s">
        <v>357</v>
      </c>
      <c r="Y35" s="14">
        <v>557221</v>
      </c>
      <c r="Z35" s="26" t="s">
        <v>538</v>
      </c>
    </row>
    <row r="36" spans="2:26" ht="75" customHeight="1" x14ac:dyDescent="0.25">
      <c r="B36" s="29">
        <f t="shared" si="2"/>
        <v>28</v>
      </c>
      <c r="C36" s="29">
        <f>'[1]Списък към доклад'!C233</f>
        <v>86</v>
      </c>
      <c r="D36" s="29">
        <f>'[1]Списък към доклад'!D233</f>
        <v>7003</v>
      </c>
      <c r="E36" s="46" t="str">
        <f>'[1]Списък към доклад'!E233</f>
        <v xml:space="preserve">Сливен </v>
      </c>
      <c r="F36" s="47" t="str">
        <f>'[1]Списък към доклад'!F233</f>
        <v>Сливен</v>
      </c>
      <c r="G36" s="43" t="str">
        <f>'[1]Списък към доклад'!G233</f>
        <v>Изграждане на  улица, улични водопровод и канализация между бул."Бургаско шосе" и бул."Хаджи Димитър" от о.т. 3182 до о.т. 3180 по плана на гр.Сливен - част ВиК</v>
      </c>
      <c r="H36" s="34">
        <v>103000</v>
      </c>
      <c r="I36" s="29" t="str">
        <f>'[1]Списък към доклад'!I233</f>
        <v>ВиК</v>
      </c>
      <c r="J36" s="54" t="s">
        <v>90</v>
      </c>
      <c r="K36" s="29" t="s">
        <v>305</v>
      </c>
      <c r="L36" s="55" t="s">
        <v>112</v>
      </c>
      <c r="M36" s="55" t="s">
        <v>194</v>
      </c>
      <c r="N36" s="30">
        <v>0</v>
      </c>
      <c r="O36" s="30">
        <v>0</v>
      </c>
      <c r="P36" s="30">
        <v>103000</v>
      </c>
      <c r="Q36" s="29"/>
      <c r="R36" s="10" t="s">
        <v>270</v>
      </c>
      <c r="S36" s="44">
        <f t="shared" si="1"/>
        <v>0</v>
      </c>
      <c r="T36" s="10" t="s">
        <v>510</v>
      </c>
      <c r="U36" s="10" t="s">
        <v>357</v>
      </c>
      <c r="V36" s="10" t="s">
        <v>357</v>
      </c>
      <c r="W36" s="10" t="s">
        <v>357</v>
      </c>
      <c r="X36" s="10" t="s">
        <v>357</v>
      </c>
      <c r="Y36" s="19">
        <v>0</v>
      </c>
      <c r="Z36" s="10" t="s">
        <v>434</v>
      </c>
    </row>
    <row r="37" spans="2:26" ht="51.75" customHeight="1" x14ac:dyDescent="0.25">
      <c r="B37" s="29">
        <f t="shared" si="2"/>
        <v>29</v>
      </c>
      <c r="C37" s="29">
        <f>'[1]Списък към доклад'!C238</f>
        <v>91</v>
      </c>
      <c r="D37" s="29">
        <f>'[1]Списък към доклад'!D238</f>
        <v>7004</v>
      </c>
      <c r="E37" s="46" t="str">
        <f>'[1]Списък към доклад'!E238</f>
        <v>Твърдица</v>
      </c>
      <c r="F37" s="47" t="str">
        <f>'[1]Списък към доклад'!F238</f>
        <v>Сливен</v>
      </c>
      <c r="G37" s="43" t="str">
        <f>'[1]Списък към доклад'!G238</f>
        <v>Ремонт и подмяна на вътрешна водопроводна мрежа на гр. Шивачево</v>
      </c>
      <c r="H37" s="34">
        <v>862175</v>
      </c>
      <c r="I37" s="29" t="str">
        <f>'[1]Списък към доклад'!I238</f>
        <v>ВиК</v>
      </c>
      <c r="J37" s="54" t="s">
        <v>95</v>
      </c>
      <c r="K37" s="29" t="s">
        <v>305</v>
      </c>
      <c r="L37" s="55" t="s">
        <v>112</v>
      </c>
      <c r="M37" s="55" t="s">
        <v>210</v>
      </c>
      <c r="N37" s="30">
        <f>1697860.28+26490+9500</f>
        <v>1733850.28</v>
      </c>
      <c r="O37" s="34">
        <v>862175</v>
      </c>
      <c r="P37" s="30">
        <f t="shared" si="0"/>
        <v>0</v>
      </c>
      <c r="Q37" s="29" t="s">
        <v>246</v>
      </c>
      <c r="R37" s="10" t="s">
        <v>270</v>
      </c>
      <c r="S37" s="44">
        <f t="shared" si="1"/>
        <v>1</v>
      </c>
      <c r="T37" s="10" t="s">
        <v>511</v>
      </c>
      <c r="U37" s="10" t="s">
        <v>351</v>
      </c>
      <c r="V37" s="10" t="s">
        <v>352</v>
      </c>
      <c r="W37" s="10" t="s">
        <v>351</v>
      </c>
      <c r="X37" s="10" t="s">
        <v>357</v>
      </c>
      <c r="Y37" s="14">
        <v>862175</v>
      </c>
      <c r="Z37" s="10" t="s">
        <v>536</v>
      </c>
    </row>
    <row r="38" spans="2:26" ht="59.25" customHeight="1" x14ac:dyDescent="0.25">
      <c r="B38" s="29">
        <f t="shared" si="2"/>
        <v>30</v>
      </c>
      <c r="C38" s="29">
        <f>'[1]Списък към доклад'!C157</f>
        <v>10</v>
      </c>
      <c r="D38" s="29">
        <f>'[1]Списък към доклад'!D157</f>
        <v>7102</v>
      </c>
      <c r="E38" s="46" t="str">
        <f>'[1]Списък към доклад'!E157</f>
        <v>Борино</v>
      </c>
      <c r="F38" s="47" t="str">
        <f>'[1]Списък към доклад'!F157</f>
        <v>Смолян</v>
      </c>
      <c r="G38" s="43" t="str">
        <f>'[1]Списък към доклад'!G157</f>
        <v>Реконструкция на външен етернитов водопровод от планинско водохващане на р. Аджиларска до ПСПВ на с. Ягодина</v>
      </c>
      <c r="H38" s="34">
        <v>1384225</v>
      </c>
      <c r="I38" s="29" t="str">
        <f>'[1]Списък към доклад'!I157</f>
        <v>ВиК</v>
      </c>
      <c r="J38" s="58" t="s">
        <v>15</v>
      </c>
      <c r="K38" s="29" t="s">
        <v>305</v>
      </c>
      <c r="L38" s="55" t="s">
        <v>112</v>
      </c>
      <c r="M38" s="55" t="s">
        <v>119</v>
      </c>
      <c r="N38" s="30">
        <f>74000+29900+2641790.09</f>
        <v>2745690.09</v>
      </c>
      <c r="O38" s="30">
        <v>1038830.02</v>
      </c>
      <c r="P38" s="30">
        <f t="shared" si="0"/>
        <v>345394.98</v>
      </c>
      <c r="Q38" s="29" t="s">
        <v>254</v>
      </c>
      <c r="R38" s="10" t="s">
        <v>270</v>
      </c>
      <c r="S38" s="44">
        <f t="shared" si="1"/>
        <v>0.75047771857898826</v>
      </c>
      <c r="T38" s="10" t="s">
        <v>512</v>
      </c>
      <c r="U38" s="10" t="s">
        <v>351</v>
      </c>
      <c r="V38" s="10" t="s">
        <v>352</v>
      </c>
      <c r="W38" s="10" t="s">
        <v>351</v>
      </c>
      <c r="X38" s="10" t="s">
        <v>357</v>
      </c>
      <c r="Y38" s="19">
        <v>1374265</v>
      </c>
      <c r="Z38" s="10" t="s">
        <v>534</v>
      </c>
    </row>
    <row r="39" spans="2:26" ht="63" customHeight="1" x14ac:dyDescent="0.25">
      <c r="B39" s="29">
        <f t="shared" si="2"/>
        <v>31</v>
      </c>
      <c r="C39" s="29">
        <f>'[1]Списък към доклад'!C173</f>
        <v>26</v>
      </c>
      <c r="D39" s="29">
        <f>'[1]Списък към доклад'!D173</f>
        <v>7103</v>
      </c>
      <c r="E39" s="46" t="str">
        <f>'[1]Списък към доклад'!E173</f>
        <v>Девин</v>
      </c>
      <c r="F39" s="47" t="str">
        <f>'[1]Списък към доклад'!F173</f>
        <v>Смолян</v>
      </c>
      <c r="G39" s="43" t="str">
        <f>'[1]Списък към доклад'!G173</f>
        <v>"Изграждане, реконструкция и рехабилитация на външна и вътрешна водоснабдителна система и съоръжения в кв. Настан, гр. Девин - етап 1"</v>
      </c>
      <c r="H39" s="34">
        <v>2792489</v>
      </c>
      <c r="I39" s="29" t="str">
        <f>'[1]Списък към доклад'!I173</f>
        <v>ВиК</v>
      </c>
      <c r="J39" s="54" t="s">
        <v>31</v>
      </c>
      <c r="K39" s="29" t="s">
        <v>305</v>
      </c>
      <c r="L39" s="55" t="s">
        <v>112</v>
      </c>
      <c r="M39" s="55" t="s">
        <v>120</v>
      </c>
      <c r="N39" s="30">
        <f>5457863.96+3000+7392</f>
        <v>5468255.96</v>
      </c>
      <c r="O39" s="30">
        <v>600700.02</v>
      </c>
      <c r="P39" s="30">
        <f t="shared" si="0"/>
        <v>2191788.98</v>
      </c>
      <c r="Q39" s="29" t="s">
        <v>298</v>
      </c>
      <c r="R39" s="10" t="s">
        <v>270</v>
      </c>
      <c r="S39" s="44">
        <f t="shared" si="1"/>
        <v>0.21511276141105659</v>
      </c>
      <c r="T39" s="10" t="s">
        <v>513</v>
      </c>
      <c r="U39" s="10" t="s">
        <v>351</v>
      </c>
      <c r="V39" s="10" t="s">
        <v>352</v>
      </c>
      <c r="W39" s="10" t="s">
        <v>351</v>
      </c>
      <c r="X39" s="10" t="s">
        <v>357</v>
      </c>
      <c r="Y39" s="19">
        <v>2675766.96</v>
      </c>
      <c r="Z39" s="10" t="s">
        <v>537</v>
      </c>
    </row>
    <row r="40" spans="2:26" ht="51.75" customHeight="1" x14ac:dyDescent="0.25">
      <c r="B40" s="29">
        <f t="shared" si="2"/>
        <v>32</v>
      </c>
      <c r="C40" s="29">
        <f>'[1]Списък към доклад'!C178</f>
        <v>31</v>
      </c>
      <c r="D40" s="29">
        <f>'[1]Списък към доклад'!D178</f>
        <v>7104</v>
      </c>
      <c r="E40" s="46" t="str">
        <f>'[1]Списък към доклад'!E178</f>
        <v>Доспат</v>
      </c>
      <c r="F40" s="47" t="str">
        <f>'[1]Списък към доклад'!F178</f>
        <v>Смолян</v>
      </c>
      <c r="G40" s="43" t="str">
        <f>'[1]Списък към доклад'!G178</f>
        <v>Подмяна на водопровод и канализация по улици в гр. Доспат, област Смолян.</v>
      </c>
      <c r="H40" s="34">
        <v>320880</v>
      </c>
      <c r="I40" s="29" t="str">
        <f>'[1]Списък към доклад'!I178</f>
        <v>ВиК</v>
      </c>
      <c r="J40" s="54" t="s">
        <v>36</v>
      </c>
      <c r="K40" s="29" t="s">
        <v>305</v>
      </c>
      <c r="L40" s="55" t="s">
        <v>112</v>
      </c>
      <c r="M40" s="55" t="s">
        <v>179</v>
      </c>
      <c r="N40" s="30">
        <f>641759.5</f>
        <v>641759.5</v>
      </c>
      <c r="O40" s="30">
        <v>0</v>
      </c>
      <c r="P40" s="30">
        <f t="shared" si="0"/>
        <v>320880</v>
      </c>
      <c r="Q40" s="29" t="s">
        <v>291</v>
      </c>
      <c r="R40" s="10" t="s">
        <v>270</v>
      </c>
      <c r="S40" s="44">
        <f t="shared" si="1"/>
        <v>0</v>
      </c>
      <c r="T40" s="10" t="s">
        <v>475</v>
      </c>
      <c r="U40" s="10" t="s">
        <v>351</v>
      </c>
      <c r="V40" s="10" t="s">
        <v>352</v>
      </c>
      <c r="W40" s="10" t="s">
        <v>357</v>
      </c>
      <c r="X40" s="10" t="s">
        <v>357</v>
      </c>
      <c r="Y40" s="14">
        <v>320880</v>
      </c>
      <c r="Z40" s="10" t="s">
        <v>435</v>
      </c>
    </row>
    <row r="41" spans="2:26" ht="64.5" customHeight="1" x14ac:dyDescent="0.25">
      <c r="B41" s="29">
        <f t="shared" si="2"/>
        <v>33</v>
      </c>
      <c r="C41" s="29">
        <f>'[1]Списък към доклад'!C225</f>
        <v>78</v>
      </c>
      <c r="D41" s="29">
        <f>'[1]Списък към доклад'!D225</f>
        <v>7108</v>
      </c>
      <c r="E41" s="46" t="str">
        <f>'[1]Списък към доклад'!E225</f>
        <v>Рудозем</v>
      </c>
      <c r="F41" s="47" t="str">
        <f>'[1]Списък към доклад'!F225</f>
        <v>Смолян</v>
      </c>
      <c r="G41" s="43" t="str">
        <f>'[1]Списък към доклад'!G225</f>
        <v>Вътрешна канализационна и водопроводна мрежа Елховец - лот 3, част водопровод</v>
      </c>
      <c r="H41" s="34">
        <v>1503326</v>
      </c>
      <c r="I41" s="29" t="str">
        <f>'[1]Списък към доклад'!I225</f>
        <v>ВиК</v>
      </c>
      <c r="J41" s="54" t="s">
        <v>82</v>
      </c>
      <c r="K41" s="29" t="s">
        <v>305</v>
      </c>
      <c r="L41" s="55" t="s">
        <v>112</v>
      </c>
      <c r="M41" s="55" t="s">
        <v>121</v>
      </c>
      <c r="N41" s="30">
        <f>2966971.52+16900+16150</f>
        <v>3000021.52</v>
      </c>
      <c r="O41" s="30">
        <f>728629.62+728444.58+8075+3500</f>
        <v>1468649.2</v>
      </c>
      <c r="P41" s="30">
        <f t="shared" si="0"/>
        <v>34676.800000000047</v>
      </c>
      <c r="Q41" s="29" t="s">
        <v>327</v>
      </c>
      <c r="R41" s="10" t="s">
        <v>270</v>
      </c>
      <c r="S41" s="44">
        <f t="shared" si="1"/>
        <v>0.97693327994061163</v>
      </c>
      <c r="T41" s="10" t="s">
        <v>496</v>
      </c>
      <c r="U41" s="10" t="s">
        <v>351</v>
      </c>
      <c r="V41" s="10" t="s">
        <v>352</v>
      </c>
      <c r="W41" s="10" t="s">
        <v>351</v>
      </c>
      <c r="X41" s="10" t="s">
        <v>357</v>
      </c>
      <c r="Y41" s="19">
        <v>1496695</v>
      </c>
      <c r="Z41" s="10" t="s">
        <v>506</v>
      </c>
    </row>
    <row r="42" spans="2:26" ht="48.75" customHeight="1" x14ac:dyDescent="0.25">
      <c r="B42" s="29">
        <f t="shared" si="2"/>
        <v>34</v>
      </c>
      <c r="C42" s="29">
        <f>'[1]Списък към доклад'!C235</f>
        <v>88</v>
      </c>
      <c r="D42" s="29">
        <f>'[1]Списък към доклад'!D235</f>
        <v>7109</v>
      </c>
      <c r="E42" s="46" t="str">
        <f>'[1]Списък към доклад'!E235</f>
        <v>Смолян</v>
      </c>
      <c r="F42" s="47" t="str">
        <f>'[1]Списък към доклад'!F235</f>
        <v>Смолян</v>
      </c>
      <c r="G42" s="43" t="str">
        <f>'[1]Списък към доклад'!G235</f>
        <v>Реконструкция на вътрешна водоснабдителна мрежа на с. Момчиловци</v>
      </c>
      <c r="H42" s="34">
        <v>2832012</v>
      </c>
      <c r="I42" s="29" t="str">
        <f>'[1]Списък към доклад'!I235</f>
        <v>ВиК</v>
      </c>
      <c r="J42" s="54" t="s">
        <v>92</v>
      </c>
      <c r="K42" s="29" t="s">
        <v>305</v>
      </c>
      <c r="L42" s="55" t="s">
        <v>112</v>
      </c>
      <c r="M42" s="55" t="s">
        <v>195</v>
      </c>
      <c r="N42" s="30">
        <v>0</v>
      </c>
      <c r="O42" s="30">
        <v>0</v>
      </c>
      <c r="P42" s="30">
        <f t="shared" si="0"/>
        <v>2832012</v>
      </c>
      <c r="Q42" s="29" t="s">
        <v>233</v>
      </c>
      <c r="R42" s="10" t="s">
        <v>270</v>
      </c>
      <c r="S42" s="44">
        <f t="shared" si="1"/>
        <v>0</v>
      </c>
      <c r="T42" s="10" t="s">
        <v>476</v>
      </c>
      <c r="U42" s="10" t="s">
        <v>357</v>
      </c>
      <c r="V42" s="10" t="s">
        <v>357</v>
      </c>
      <c r="W42" s="10" t="s">
        <v>357</v>
      </c>
      <c r="X42" s="10" t="s">
        <v>357</v>
      </c>
      <c r="Y42" s="19">
        <v>0</v>
      </c>
      <c r="Z42" s="10" t="s">
        <v>344</v>
      </c>
    </row>
    <row r="43" spans="2:26" ht="44.25" customHeight="1" x14ac:dyDescent="0.25">
      <c r="B43" s="29">
        <f t="shared" si="2"/>
        <v>35</v>
      </c>
      <c r="C43" s="29">
        <f>'[1]Списък към доклад'!C248</f>
        <v>101</v>
      </c>
      <c r="D43" s="29">
        <f>'[1]Списък към доклад'!D248</f>
        <v>7110</v>
      </c>
      <c r="E43" s="46" t="str">
        <f>'[1]Списък към доклад'!E248</f>
        <v>Чепеларе</v>
      </c>
      <c r="F43" s="47" t="str">
        <f>'[1]Списък към доклад'!F248</f>
        <v>Смолян</v>
      </c>
      <c r="G43" s="43" t="str">
        <f>'[1]Списък към доклад'!G248</f>
        <v>Доизграждане на водопроводна мрежа в с. Богутево</v>
      </c>
      <c r="H43" s="34">
        <v>451446</v>
      </c>
      <c r="I43" s="29" t="str">
        <f>'[1]Списък към доклад'!I248</f>
        <v>ВиК</v>
      </c>
      <c r="J43" s="54" t="s">
        <v>105</v>
      </c>
      <c r="K43" s="29" t="s">
        <v>305</v>
      </c>
      <c r="L43" s="55" t="s">
        <v>112</v>
      </c>
      <c r="M43" s="55" t="s">
        <v>167</v>
      </c>
      <c r="N43" s="30">
        <f>8000+8950+902890.88</f>
        <v>919840.88</v>
      </c>
      <c r="O43" s="34">
        <v>451446</v>
      </c>
      <c r="P43" s="30">
        <f t="shared" si="0"/>
        <v>0</v>
      </c>
      <c r="Q43" s="29" t="s">
        <v>318</v>
      </c>
      <c r="R43" s="10" t="s">
        <v>270</v>
      </c>
      <c r="S43" s="44">
        <f t="shared" si="1"/>
        <v>1</v>
      </c>
      <c r="T43" s="10" t="s">
        <v>514</v>
      </c>
      <c r="U43" s="10" t="s">
        <v>351</v>
      </c>
      <c r="V43" s="10" t="s">
        <v>352</v>
      </c>
      <c r="W43" s="10" t="s">
        <v>351</v>
      </c>
      <c r="X43" s="10" t="s">
        <v>357</v>
      </c>
      <c r="Y43" s="19">
        <v>468394</v>
      </c>
      <c r="Z43" s="10" t="s">
        <v>436</v>
      </c>
    </row>
    <row r="44" spans="2:26" ht="45" x14ac:dyDescent="0.25">
      <c r="B44" s="29">
        <f t="shared" si="2"/>
        <v>36</v>
      </c>
      <c r="C44" s="29">
        <f>'[1]Списък към доклад'!C148</f>
        <v>1</v>
      </c>
      <c r="D44" s="29">
        <f>'[1]Списък към доклад'!D148</f>
        <v>7301</v>
      </c>
      <c r="E44" s="46" t="str">
        <f>'[1]Списък към доклад'!E148</f>
        <v>Антон</v>
      </c>
      <c r="F44" s="47" t="str">
        <f>'[1]Списък към доклад'!F148</f>
        <v>София област</v>
      </c>
      <c r="G44" s="43" t="str">
        <f>'[1]Списък към доклад'!G148</f>
        <v>Реконструкция на довеждащ водопровод за село Антон, община Антон</v>
      </c>
      <c r="H44" s="34">
        <v>314997</v>
      </c>
      <c r="I44" s="29" t="str">
        <f>'[1]Списък към доклад'!I148</f>
        <v>ВиК</v>
      </c>
      <c r="J44" s="54" t="s">
        <v>6</v>
      </c>
      <c r="K44" s="29" t="s">
        <v>306</v>
      </c>
      <c r="L44" s="55" t="s">
        <v>112</v>
      </c>
      <c r="M44" s="55" t="s">
        <v>122</v>
      </c>
      <c r="N44" s="30">
        <f>628978.71+2500+2000</f>
        <v>633478.71</v>
      </c>
      <c r="O44" s="30">
        <v>299513.67</v>
      </c>
      <c r="P44" s="30">
        <f t="shared" si="0"/>
        <v>15483.330000000016</v>
      </c>
      <c r="Q44" s="29"/>
      <c r="R44" s="10" t="s">
        <v>271</v>
      </c>
      <c r="S44" s="44">
        <f t="shared" si="1"/>
        <v>0.95084610329622177</v>
      </c>
      <c r="T44" s="10" t="s">
        <v>401</v>
      </c>
      <c r="U44" s="10" t="s">
        <v>351</v>
      </c>
      <c r="V44" s="10" t="s">
        <v>352</v>
      </c>
      <c r="W44" s="10" t="s">
        <v>351</v>
      </c>
      <c r="X44" s="10" t="s">
        <v>357</v>
      </c>
      <c r="Y44" s="19">
        <f>N44-H44</f>
        <v>318481.70999999996</v>
      </c>
      <c r="Z44" s="9" t="s">
        <v>402</v>
      </c>
    </row>
    <row r="45" spans="2:26" ht="50.25" customHeight="1" x14ac:dyDescent="0.25">
      <c r="B45" s="29">
        <f t="shared" si="2"/>
        <v>37</v>
      </c>
      <c r="C45" s="29">
        <f>'[1]Списък към доклад'!C159</f>
        <v>12</v>
      </c>
      <c r="D45" s="29">
        <f>'[1]Списък към доклад'!D159</f>
        <v>7303</v>
      </c>
      <c r="E45" s="46" t="str">
        <f>'[1]Списък към доклад'!E159</f>
        <v>Ботевград</v>
      </c>
      <c r="F45" s="47" t="str">
        <f>'[1]Списък към доклад'!F159</f>
        <v>София област</v>
      </c>
      <c r="G45" s="43" t="str">
        <f>'[1]Списък към доклад'!G159</f>
        <v>„Реконструкция на водопроводната система в с. Трудовец, община Ботевград“</v>
      </c>
      <c r="H45" s="34">
        <v>3329638</v>
      </c>
      <c r="I45" s="29" t="str">
        <f>'[1]Списък към доклад'!I159</f>
        <v>ВиК</v>
      </c>
      <c r="J45" s="54" t="s">
        <v>17</v>
      </c>
      <c r="K45" s="29" t="s">
        <v>306</v>
      </c>
      <c r="L45" s="55" t="s">
        <v>112</v>
      </c>
      <c r="M45" s="55" t="s">
        <v>123</v>
      </c>
      <c r="N45" s="30">
        <f>1396339.68+5262936.09+833.33+68999</f>
        <v>6729108.0999999996</v>
      </c>
      <c r="O45" s="30">
        <v>2788804.26</v>
      </c>
      <c r="P45" s="30">
        <f t="shared" si="0"/>
        <v>540833.74000000022</v>
      </c>
      <c r="Q45" s="29"/>
      <c r="R45" s="10" t="s">
        <v>271</v>
      </c>
      <c r="S45" s="44">
        <f t="shared" si="1"/>
        <v>0.83756980788902569</v>
      </c>
      <c r="T45" s="10" t="s">
        <v>399</v>
      </c>
      <c r="U45" s="10" t="s">
        <v>351</v>
      </c>
      <c r="V45" s="10" t="s">
        <v>352</v>
      </c>
      <c r="W45" s="10" t="s">
        <v>351</v>
      </c>
      <c r="X45" s="10" t="s">
        <v>357</v>
      </c>
      <c r="Y45" s="19">
        <v>3399470</v>
      </c>
      <c r="Z45" s="9" t="s">
        <v>400</v>
      </c>
    </row>
    <row r="46" spans="2:26" ht="65.25" customHeight="1" x14ac:dyDescent="0.25">
      <c r="B46" s="29">
        <f t="shared" si="2"/>
        <v>38</v>
      </c>
      <c r="C46" s="29">
        <f>'[1]Списък към доклад'!C179</f>
        <v>32</v>
      </c>
      <c r="D46" s="29">
        <f>'[1]Списък към доклад'!D179</f>
        <v>7307</v>
      </c>
      <c r="E46" s="46" t="str">
        <f>'[1]Списък към доклад'!E179</f>
        <v>Драгоман</v>
      </c>
      <c r="F46" s="47" t="str">
        <f>'[1]Списък към доклад'!F179</f>
        <v>София област</v>
      </c>
      <c r="G46" s="43" t="str">
        <f>'[1]Списък към доклад'!G179</f>
        <v xml:space="preserve"> „Реконструкция и доизграждане на част от канализационната, водопроводната и уличната мрежа в гр. Драгоман, община Драгоман“ - част ВиК</v>
      </c>
      <c r="H46" s="34">
        <v>1991167</v>
      </c>
      <c r="I46" s="29" t="str">
        <f>'[1]Списък към доклад'!I179</f>
        <v>ВиК</v>
      </c>
      <c r="J46" s="54" t="s">
        <v>37</v>
      </c>
      <c r="K46" s="29" t="s">
        <v>306</v>
      </c>
      <c r="L46" s="55" t="s">
        <v>112</v>
      </c>
      <c r="M46" s="55" t="s">
        <v>124</v>
      </c>
      <c r="N46" s="30">
        <v>3318610.91</v>
      </c>
      <c r="O46" s="30">
        <f>4312.5+14875+14875+808640.23</f>
        <v>842702.73</v>
      </c>
      <c r="P46" s="30">
        <f t="shared" si="0"/>
        <v>1148464.27</v>
      </c>
      <c r="Q46" s="29" t="s">
        <v>232</v>
      </c>
      <c r="R46" s="10" t="s">
        <v>271</v>
      </c>
      <c r="S46" s="44">
        <f t="shared" si="1"/>
        <v>0.42322051841960018</v>
      </c>
      <c r="T46" s="10"/>
      <c r="U46" s="10" t="s">
        <v>351</v>
      </c>
      <c r="V46" s="10" t="s">
        <v>352</v>
      </c>
      <c r="W46" s="10" t="s">
        <v>351</v>
      </c>
      <c r="X46" s="10" t="s">
        <v>357</v>
      </c>
      <c r="Y46" s="19">
        <f>N46-H46</f>
        <v>1327443.9100000001</v>
      </c>
      <c r="Z46" s="9" t="s">
        <v>450</v>
      </c>
    </row>
    <row r="47" spans="2:26" ht="45" x14ac:dyDescent="0.25">
      <c r="B47" s="29">
        <f t="shared" si="2"/>
        <v>39</v>
      </c>
      <c r="C47" s="29">
        <f>'[1]Списък към доклад'!C182</f>
        <v>35</v>
      </c>
      <c r="D47" s="29">
        <f>'[1]Списък към доклад'!D182</f>
        <v>7309</v>
      </c>
      <c r="E47" s="46" t="str">
        <f>'[1]Списък към доклад'!E182</f>
        <v>Етрополе</v>
      </c>
      <c r="F47" s="47" t="str">
        <f>'[1]Списък към доклад'!F182</f>
        <v>София област</v>
      </c>
      <c r="G47" s="43" t="str">
        <f>'[1]Списък към доклад'!G182</f>
        <v>Реконструкция на участъци от улични водопроводни клонове на територията на гр. Етрополе, община Етрополе – Етап 2 и Етап 3</v>
      </c>
      <c r="H47" s="34">
        <v>466675</v>
      </c>
      <c r="I47" s="29" t="str">
        <f>'[1]Списък към доклад'!I182</f>
        <v>ВиК</v>
      </c>
      <c r="J47" s="54" t="s">
        <v>40</v>
      </c>
      <c r="K47" s="29" t="s">
        <v>306</v>
      </c>
      <c r="L47" s="55" t="s">
        <v>112</v>
      </c>
      <c r="M47" s="55" t="s">
        <v>174</v>
      </c>
      <c r="N47" s="30">
        <f>1420239.81+4500+9000</f>
        <v>1433739.81</v>
      </c>
      <c r="O47" s="30">
        <v>466675</v>
      </c>
      <c r="P47" s="30">
        <f t="shared" si="0"/>
        <v>0</v>
      </c>
      <c r="Q47" s="29" t="s">
        <v>221</v>
      </c>
      <c r="R47" s="10" t="s">
        <v>271</v>
      </c>
      <c r="S47" s="44">
        <f t="shared" si="1"/>
        <v>1</v>
      </c>
      <c r="T47" s="10" t="s">
        <v>397</v>
      </c>
      <c r="U47" s="10" t="s">
        <v>351</v>
      </c>
      <c r="V47" s="10" t="s">
        <v>352</v>
      </c>
      <c r="W47" s="10" t="s">
        <v>351</v>
      </c>
      <c r="X47" s="10" t="s">
        <v>353</v>
      </c>
      <c r="Y47" s="19">
        <v>460674.95</v>
      </c>
      <c r="Z47" s="9" t="s">
        <v>398</v>
      </c>
    </row>
    <row r="48" spans="2:26" ht="84" customHeight="1" x14ac:dyDescent="0.25">
      <c r="B48" s="29">
        <f t="shared" si="2"/>
        <v>40</v>
      </c>
      <c r="C48" s="29">
        <f>'[1]Списък към доклад'!C195</f>
        <v>48</v>
      </c>
      <c r="D48" s="29">
        <f>'[1]Списък към доклад'!D195</f>
        <v>7313</v>
      </c>
      <c r="E48" s="46" t="str">
        <f>'[1]Списък към доклад'!E195</f>
        <v>Костенец</v>
      </c>
      <c r="F48" s="47" t="str">
        <f>'[1]Списък към доклад'!F195</f>
        <v>София област</v>
      </c>
      <c r="G48" s="43" t="str">
        <f>'[1]Списък към доклад'!G195</f>
        <v>Реконструкция и подмяна на главен довеждащ водопровод от водохващане Чавча и Крайна до напорни резервоари висока и ниска зони на гр. Костенец, община Костенец</v>
      </c>
      <c r="H48" s="34">
        <v>864069</v>
      </c>
      <c r="I48" s="29" t="str">
        <f>'[1]Списък към доклад'!I195</f>
        <v>ВиК</v>
      </c>
      <c r="J48" s="54" t="s">
        <v>52</v>
      </c>
      <c r="K48" s="29" t="s">
        <v>306</v>
      </c>
      <c r="L48" s="55" t="s">
        <v>112</v>
      </c>
      <c r="M48" s="55" t="s">
        <v>125</v>
      </c>
      <c r="N48" s="35">
        <f>29000+1991287.78+7100</f>
        <v>2027387.78</v>
      </c>
      <c r="O48" s="30">
        <f>172833.33+172168.07+172156.4+191324.64</f>
        <v>708482.44000000006</v>
      </c>
      <c r="P48" s="30">
        <f t="shared" si="0"/>
        <v>155586.55999999994</v>
      </c>
      <c r="Q48" s="29" t="s">
        <v>245</v>
      </c>
      <c r="R48" s="10" t="s">
        <v>271</v>
      </c>
      <c r="S48" s="44">
        <f t="shared" si="1"/>
        <v>0.8199373429668233</v>
      </c>
      <c r="T48" s="10" t="s">
        <v>403</v>
      </c>
      <c r="U48" s="10" t="s">
        <v>351</v>
      </c>
      <c r="V48" s="10" t="s">
        <v>352</v>
      </c>
      <c r="W48" s="10" t="s">
        <v>351</v>
      </c>
      <c r="X48" s="10" t="s">
        <v>357</v>
      </c>
      <c r="Y48" s="28">
        <v>856987</v>
      </c>
      <c r="Z48" s="9" t="s">
        <v>491</v>
      </c>
    </row>
    <row r="49" spans="2:26" ht="56.25" customHeight="1" x14ac:dyDescent="0.25">
      <c r="B49" s="29">
        <f t="shared" si="2"/>
        <v>41</v>
      </c>
      <c r="C49" s="29">
        <f>'[1]Списък към доклад'!C210</f>
        <v>63</v>
      </c>
      <c r="D49" s="29">
        <f>'[1]Списък към доклад'!D210</f>
        <v>7315</v>
      </c>
      <c r="E49" s="46" t="str">
        <f>'[1]Списък към доклад'!E210</f>
        <v>Мирково</v>
      </c>
      <c r="F49" s="47" t="str">
        <f>'[1]Списък към доклад'!F210</f>
        <v>София област</v>
      </c>
      <c r="G49" s="43" t="str">
        <f>'[1]Списък към доклад'!G210</f>
        <v>Реконструкция водопроводна мрежа на село Каменица, община Мирково</v>
      </c>
      <c r="H49" s="34">
        <v>756983</v>
      </c>
      <c r="I49" s="29" t="str">
        <f>'[1]Списък към доклад'!I210</f>
        <v>ВиК</v>
      </c>
      <c r="J49" s="54" t="s">
        <v>67</v>
      </c>
      <c r="K49" s="29" t="s">
        <v>306</v>
      </c>
      <c r="L49" s="55" t="s">
        <v>112</v>
      </c>
      <c r="M49" s="55" t="s">
        <v>126</v>
      </c>
      <c r="N49" s="35">
        <f>1513964.92+29900+15140</f>
        <v>1559004.92</v>
      </c>
      <c r="O49" s="34">
        <v>756983</v>
      </c>
      <c r="P49" s="30">
        <f t="shared" si="0"/>
        <v>0</v>
      </c>
      <c r="Q49" s="29" t="s">
        <v>226</v>
      </c>
      <c r="R49" s="10" t="s">
        <v>271</v>
      </c>
      <c r="S49" s="44">
        <f t="shared" si="1"/>
        <v>1</v>
      </c>
      <c r="T49" s="10" t="s">
        <v>395</v>
      </c>
      <c r="U49" s="10" t="s">
        <v>351</v>
      </c>
      <c r="V49" s="10" t="s">
        <v>352</v>
      </c>
      <c r="W49" s="10" t="s">
        <v>351</v>
      </c>
      <c r="X49" s="10" t="s">
        <v>357</v>
      </c>
      <c r="Y49" s="34">
        <v>756981</v>
      </c>
      <c r="Z49" s="9" t="s">
        <v>396</v>
      </c>
    </row>
    <row r="50" spans="2:26" ht="60.75" customHeight="1" x14ac:dyDescent="0.25">
      <c r="B50" s="29">
        <f t="shared" si="2"/>
        <v>42</v>
      </c>
      <c r="C50" s="29">
        <f>'[1]Списък към доклад'!C219</f>
        <v>72</v>
      </c>
      <c r="D50" s="29">
        <f>'[1]Списък към доклад'!D219</f>
        <v>7316</v>
      </c>
      <c r="E50" s="46" t="str">
        <f>'[1]Списък към доклад'!E219</f>
        <v>Пирдоп</v>
      </c>
      <c r="F50" s="47" t="str">
        <f>'[1]Списък към доклад'!F219</f>
        <v>София област</v>
      </c>
      <c r="G50" s="43" t="str">
        <f>'[1]Списък към доклад'!G219</f>
        <v>Реконструкция на част от водопроводна и канализационната мрежа на гр. Пирдоп</v>
      </c>
      <c r="H50" s="34">
        <v>2983973</v>
      </c>
      <c r="I50" s="29" t="str">
        <f>'[1]Списък към доклад'!I219</f>
        <v>ВиК</v>
      </c>
      <c r="J50" s="54" t="s">
        <v>76</v>
      </c>
      <c r="K50" s="29" t="s">
        <v>306</v>
      </c>
      <c r="L50" s="55" t="s">
        <v>112</v>
      </c>
      <c r="M50" s="55" t="s">
        <v>169</v>
      </c>
      <c r="N50" s="30">
        <f>5967944.88+119900+11000</f>
        <v>6098844.8799999999</v>
      </c>
      <c r="O50" s="30">
        <v>2983973</v>
      </c>
      <c r="P50" s="30">
        <f t="shared" si="0"/>
        <v>0</v>
      </c>
      <c r="Q50" s="29"/>
      <c r="R50" s="10" t="s">
        <v>271</v>
      </c>
      <c r="S50" s="44">
        <f t="shared" si="1"/>
        <v>1</v>
      </c>
      <c r="T50" s="10" t="s">
        <v>504</v>
      </c>
      <c r="U50" s="10" t="s">
        <v>351</v>
      </c>
      <c r="V50" s="10" t="s">
        <v>352</v>
      </c>
      <c r="W50" s="10" t="s">
        <v>351</v>
      </c>
      <c r="X50" s="10" t="s">
        <v>357</v>
      </c>
      <c r="Y50" s="28">
        <v>0</v>
      </c>
      <c r="Z50" s="10" t="s">
        <v>505</v>
      </c>
    </row>
    <row r="51" spans="2:26" ht="101.25" customHeight="1" x14ac:dyDescent="0.25">
      <c r="B51" s="29">
        <f t="shared" si="2"/>
        <v>43</v>
      </c>
      <c r="C51" s="29">
        <f>'[1]Списък към доклад'!C220</f>
        <v>73</v>
      </c>
      <c r="D51" s="29">
        <f>'[1]Списък към доклад'!D220</f>
        <v>7317</v>
      </c>
      <c r="E51" s="46" t="str">
        <f>'[1]Списък към доклад'!E220</f>
        <v>Правец</v>
      </c>
      <c r="F51" s="47" t="str">
        <f>'[1]Списък към доклад'!F220</f>
        <v>София област</v>
      </c>
      <c r="G51" s="43" t="str">
        <f>'[1]Списък към доклад'!G220</f>
        <v>Реконструкция и модернизация на ПСОВ с извън площадкова довеждаща инфраструктура, доизграждане и реконструкция на канализационна мрежа с реконструкция на съпътстваща водопроводна мрежа на гр. Правец, подобекти: Етап V и Етап VI</v>
      </c>
      <c r="H51" s="34">
        <v>2505055</v>
      </c>
      <c r="I51" s="29" t="str">
        <f>'[1]Списък към доклад'!I220</f>
        <v>ВиК</v>
      </c>
      <c r="J51" s="54" t="s">
        <v>77</v>
      </c>
      <c r="K51" s="29" t="s">
        <v>306</v>
      </c>
      <c r="L51" s="55" t="s">
        <v>112</v>
      </c>
      <c r="M51" s="55" t="s">
        <v>132</v>
      </c>
      <c r="N51" s="30">
        <f>4978560.55+15000+1000</f>
        <v>4994560.55</v>
      </c>
      <c r="O51" s="30">
        <f>751448.97</f>
        <v>751448.97</v>
      </c>
      <c r="P51" s="30">
        <f t="shared" si="0"/>
        <v>1753606.03</v>
      </c>
      <c r="Q51" s="29" t="s">
        <v>217</v>
      </c>
      <c r="R51" s="10" t="s">
        <v>271</v>
      </c>
      <c r="S51" s="44">
        <f t="shared" si="1"/>
        <v>0.29997304250804874</v>
      </c>
      <c r="T51" s="10" t="s">
        <v>404</v>
      </c>
      <c r="U51" s="10" t="s">
        <v>351</v>
      </c>
      <c r="V51" s="10" t="s">
        <v>352</v>
      </c>
      <c r="W51" s="10" t="s">
        <v>351</v>
      </c>
      <c r="X51" s="10" t="s">
        <v>357</v>
      </c>
      <c r="Y51" s="28">
        <f>N51-H51</f>
        <v>2489505.5499999998</v>
      </c>
      <c r="Z51" s="9" t="s">
        <v>405</v>
      </c>
    </row>
    <row r="52" spans="2:26" ht="57.75" customHeight="1" x14ac:dyDescent="0.25">
      <c r="B52" s="29">
        <f t="shared" si="2"/>
        <v>44</v>
      </c>
      <c r="C52" s="29">
        <f>'[1]Списък към доклад'!C156</f>
        <v>9</v>
      </c>
      <c r="D52" s="29">
        <f>'[1]Списък към доклад'!D156</f>
        <v>6202</v>
      </c>
      <c r="E52" s="46" t="str">
        <f>'[1]Списък към доклад'!E156</f>
        <v>Бойчиновци</v>
      </c>
      <c r="F52" s="47" t="str">
        <f>'[1]Списък към доклад'!F156</f>
        <v>Монтана</v>
      </c>
      <c r="G52" s="43" t="str">
        <f>'[1]Списък към доклад'!G156</f>
        <v>"Реконструкция на част от водопроводната мрежа на село Лехчево"- втори етап</v>
      </c>
      <c r="H52" s="34">
        <v>1295712</v>
      </c>
      <c r="I52" s="29" t="str">
        <f>'[1]Списък към доклад'!I156</f>
        <v>ВиК</v>
      </c>
      <c r="J52" s="54" t="s">
        <v>14</v>
      </c>
      <c r="K52" s="10" t="s">
        <v>307</v>
      </c>
      <c r="L52" s="55" t="s">
        <v>112</v>
      </c>
      <c r="M52" s="55" t="s">
        <v>129</v>
      </c>
      <c r="N52" s="30">
        <f>2591424.6+600+4000+23000</f>
        <v>2619024.6</v>
      </c>
      <c r="O52" s="30">
        <v>1162525.5</v>
      </c>
      <c r="P52" s="30">
        <f t="shared" si="0"/>
        <v>133186.5</v>
      </c>
      <c r="Q52" s="29" t="s">
        <v>255</v>
      </c>
      <c r="R52" s="10" t="s">
        <v>269</v>
      </c>
      <c r="S52" s="44">
        <f t="shared" si="1"/>
        <v>0.89720979662147149</v>
      </c>
      <c r="T52" s="10" t="s">
        <v>497</v>
      </c>
      <c r="U52" s="10" t="s">
        <v>351</v>
      </c>
      <c r="V52" s="10" t="s">
        <v>352</v>
      </c>
      <c r="W52" s="10" t="s">
        <v>351</v>
      </c>
      <c r="X52" s="10" t="s">
        <v>357</v>
      </c>
      <c r="Y52" s="28">
        <f>N52-H52</f>
        <v>1323312.6000000001</v>
      </c>
      <c r="Z52" s="9" t="s">
        <v>451</v>
      </c>
    </row>
    <row r="53" spans="2:26" ht="45" x14ac:dyDescent="0.25">
      <c r="B53" s="29">
        <f t="shared" si="2"/>
        <v>45</v>
      </c>
      <c r="C53" s="29">
        <f>'[1]Списък към доклад'!C160</f>
        <v>13</v>
      </c>
      <c r="D53" s="29">
        <f>'[1]Списък към доклад'!D160</f>
        <v>6203</v>
      </c>
      <c r="E53" s="46" t="str">
        <f>'[1]Списък към доклад'!E160</f>
        <v>Брусарци</v>
      </c>
      <c r="F53" s="47" t="str">
        <f>'[1]Списък към доклад'!F160</f>
        <v>Монтана</v>
      </c>
      <c r="G53" s="43" t="str">
        <f>'[1]Списък към доклад'!G160</f>
        <v>Водоснабдяване на с. Дъбова махала, община Брусарци - Външна и вътрешна водопроводна мрежа</v>
      </c>
      <c r="H53" s="34">
        <v>952467</v>
      </c>
      <c r="I53" s="29" t="str">
        <f>'[1]Списък към доклад'!I160</f>
        <v>ВиК</v>
      </c>
      <c r="J53" s="54" t="s">
        <v>18</v>
      </c>
      <c r="K53" s="10" t="s">
        <v>307</v>
      </c>
      <c r="L53" s="55" t="s">
        <v>112</v>
      </c>
      <c r="M53" s="55" t="s">
        <v>130</v>
      </c>
      <c r="N53" s="30">
        <f>29640+1837962.76+14700+22500</f>
        <v>1904802.76</v>
      </c>
      <c r="O53" s="30">
        <v>779209.66</v>
      </c>
      <c r="P53" s="30">
        <f t="shared" si="0"/>
        <v>173257.33999999997</v>
      </c>
      <c r="Q53" s="29" t="s">
        <v>250</v>
      </c>
      <c r="R53" s="10" t="s">
        <v>269</v>
      </c>
      <c r="S53" s="44">
        <f t="shared" si="1"/>
        <v>0.81809622800579973</v>
      </c>
      <c r="T53" s="10" t="s">
        <v>498</v>
      </c>
      <c r="U53" s="10" t="s">
        <v>351</v>
      </c>
      <c r="V53" s="10" t="s">
        <v>352</v>
      </c>
      <c r="W53" s="10" t="s">
        <v>351</v>
      </c>
      <c r="X53" s="10" t="s">
        <v>357</v>
      </c>
      <c r="Y53" s="28">
        <v>952335</v>
      </c>
      <c r="Z53" s="9" t="s">
        <v>499</v>
      </c>
    </row>
    <row r="54" spans="2:26" ht="51" customHeight="1" x14ac:dyDescent="0.25">
      <c r="B54" s="29">
        <f t="shared" si="2"/>
        <v>46</v>
      </c>
      <c r="C54" s="29">
        <f>'[1]Списък към доклад'!C164</f>
        <v>17</v>
      </c>
      <c r="D54" s="29">
        <f>'[1]Списък към доклад'!D164</f>
        <v>6204</v>
      </c>
      <c r="E54" s="46" t="str">
        <f>'[1]Списък към доклад'!E164</f>
        <v>Вълчедръм</v>
      </c>
      <c r="F54" s="47" t="str">
        <f>'[1]Списък към доклад'!F164</f>
        <v>Монтана</v>
      </c>
      <c r="G54" s="43" t="str">
        <f>'[1]Списък към доклад'!G164</f>
        <v>Реконструкция на вътрешна водопроводна мрежа на гр. Вълчедръм</v>
      </c>
      <c r="H54" s="34">
        <v>1249652</v>
      </c>
      <c r="I54" s="29" t="str">
        <f>'[1]Списък към доклад'!I164</f>
        <v>ВиК</v>
      </c>
      <c r="J54" s="54" t="s">
        <v>22</v>
      </c>
      <c r="K54" s="10" t="s">
        <v>307</v>
      </c>
      <c r="L54" s="55" t="s">
        <v>112</v>
      </c>
      <c r="M54" s="55" t="s">
        <v>135</v>
      </c>
      <c r="N54" s="30">
        <v>2549204.46</v>
      </c>
      <c r="O54" s="30">
        <f>374895.6+690795.32+183961.01</f>
        <v>1249651.93</v>
      </c>
      <c r="P54" s="30">
        <f t="shared" si="0"/>
        <v>7.000000006519258E-2</v>
      </c>
      <c r="Q54" s="29" t="s">
        <v>228</v>
      </c>
      <c r="R54" s="10" t="s">
        <v>269</v>
      </c>
      <c r="S54" s="44">
        <f t="shared" si="1"/>
        <v>0.99999994398440517</v>
      </c>
      <c r="T54" s="10" t="s">
        <v>456</v>
      </c>
      <c r="U54" s="10" t="s">
        <v>351</v>
      </c>
      <c r="V54" s="10" t="s">
        <v>352</v>
      </c>
      <c r="W54" s="10" t="s">
        <v>351</v>
      </c>
      <c r="X54" s="10" t="s">
        <v>357</v>
      </c>
      <c r="Y54" s="28">
        <f>N54-H54</f>
        <v>1299552.46</v>
      </c>
      <c r="Z54" s="33" t="s">
        <v>455</v>
      </c>
    </row>
    <row r="55" spans="2:26" ht="81.75" customHeight="1" x14ac:dyDescent="0.25">
      <c r="B55" s="29">
        <f t="shared" si="2"/>
        <v>47</v>
      </c>
      <c r="C55" s="29">
        <f>'[1]Списък към доклад'!C167</f>
        <v>20</v>
      </c>
      <c r="D55" s="29">
        <f>'[1]Списък към доклад'!D167</f>
        <v>6205</v>
      </c>
      <c r="E55" s="46" t="str">
        <f>'[1]Списък към доклад'!E167</f>
        <v>Вършец</v>
      </c>
      <c r="F55" s="47" t="str">
        <f>'[1]Списък към доклад'!F167</f>
        <v>Монтана</v>
      </c>
      <c r="G55" s="43" t="str">
        <f>'[1]Списък към доклад'!G167</f>
        <v>Реконструкция на водопровод и обновяване на ул. „Република“ от ОТ 270 до ОТ 358“ втори етап - Реконструкция на водопровод и обновяване на ул. „Република“ от ОТ 315 до ОТ 358, гр. Вършец“ - част ВиК</v>
      </c>
      <c r="H55" s="34">
        <v>521241</v>
      </c>
      <c r="I55" s="29" t="str">
        <f>'[1]Списък към доклад'!I167</f>
        <v>ВиК</v>
      </c>
      <c r="J55" s="54" t="s">
        <v>25</v>
      </c>
      <c r="K55" s="10" t="s">
        <v>307</v>
      </c>
      <c r="L55" s="55" t="s">
        <v>112</v>
      </c>
      <c r="M55" s="55" t="s">
        <v>136</v>
      </c>
      <c r="N55" s="30">
        <f>1051328.6+8000+1000</f>
        <v>1060328.6000000001</v>
      </c>
      <c r="O55" s="30">
        <f>300379.6</f>
        <v>300379.59999999998</v>
      </c>
      <c r="P55" s="30">
        <f t="shared" si="0"/>
        <v>220861.40000000002</v>
      </c>
      <c r="Q55" s="29" t="s">
        <v>242</v>
      </c>
      <c r="R55" s="10" t="s">
        <v>269</v>
      </c>
      <c r="S55" s="44">
        <f t="shared" si="1"/>
        <v>0.57627776786553619</v>
      </c>
      <c r="T55" s="10" t="s">
        <v>458</v>
      </c>
      <c r="U55" s="10" t="s">
        <v>351</v>
      </c>
      <c r="V55" s="10" t="s">
        <v>352</v>
      </c>
      <c r="W55" s="10" t="s">
        <v>351</v>
      </c>
      <c r="X55" s="10" t="s">
        <v>357</v>
      </c>
      <c r="Y55" s="28">
        <f>N55-H55</f>
        <v>539087.60000000009</v>
      </c>
      <c r="Z55" s="9" t="s">
        <v>457</v>
      </c>
    </row>
    <row r="56" spans="2:26" ht="54" customHeight="1" x14ac:dyDescent="0.25">
      <c r="B56" s="29">
        <f t="shared" si="2"/>
        <v>48</v>
      </c>
      <c r="C56" s="29">
        <f>'[1]Списък към доклад'!C169</f>
        <v>22</v>
      </c>
      <c r="D56" s="29">
        <f>'[1]Списък към доклад'!D169</f>
        <v>6206</v>
      </c>
      <c r="E56" s="47" t="str">
        <f>'[1]Списък към доклад'!E169</f>
        <v>Георги Дамяново</v>
      </c>
      <c r="F56" s="47" t="str">
        <f>'[1]Списък към доклад'!F169</f>
        <v>Монтана</v>
      </c>
      <c r="G56" s="43" t="str">
        <f>'[1]Списък към доклад'!G169</f>
        <v>"Подмяна на водопровод по ул. "Първа" с. Каменна Рикса, Община Георги Дамяново"</v>
      </c>
      <c r="H56" s="34">
        <v>160000</v>
      </c>
      <c r="I56" s="29" t="str">
        <f>'[1]Списък към доклад'!I169</f>
        <v>ВиК</v>
      </c>
      <c r="J56" s="54" t="s">
        <v>27</v>
      </c>
      <c r="K56" s="10" t="s">
        <v>307</v>
      </c>
      <c r="L56" s="55" t="s">
        <v>112</v>
      </c>
      <c r="M56" s="55" t="s">
        <v>131</v>
      </c>
      <c r="N56" s="30">
        <f>9800+2000+302758.29</f>
        <v>314558.28999999998</v>
      </c>
      <c r="O56" s="30">
        <v>0</v>
      </c>
      <c r="P56" s="30">
        <f t="shared" si="0"/>
        <v>160000</v>
      </c>
      <c r="Q56" s="29" t="s">
        <v>243</v>
      </c>
      <c r="R56" s="10" t="s">
        <v>269</v>
      </c>
      <c r="S56" s="44">
        <f t="shared" si="1"/>
        <v>0</v>
      </c>
      <c r="T56" s="10" t="s">
        <v>459</v>
      </c>
      <c r="U56" s="10" t="s">
        <v>351</v>
      </c>
      <c r="V56" s="10" t="s">
        <v>352</v>
      </c>
      <c r="W56" s="10" t="s">
        <v>351</v>
      </c>
      <c r="X56" s="10" t="s">
        <v>357</v>
      </c>
      <c r="Y56" s="28">
        <f>N56-H56</f>
        <v>154558.28999999998</v>
      </c>
      <c r="Z56" s="9" t="s">
        <v>460</v>
      </c>
    </row>
    <row r="57" spans="2:26" ht="44.25" customHeight="1" x14ac:dyDescent="0.25">
      <c r="B57" s="29">
        <f t="shared" si="2"/>
        <v>49</v>
      </c>
      <c r="C57" s="29">
        <f>'[1]Списък към доклад'!C202</f>
        <v>55</v>
      </c>
      <c r="D57" s="29">
        <f>'[1]Списък към доклад'!D202</f>
        <v>6207</v>
      </c>
      <c r="E57" s="46" t="str">
        <f>'[1]Списък към доклад'!E202</f>
        <v>Лом</v>
      </c>
      <c r="F57" s="47" t="str">
        <f>'[1]Списък към доклад'!F202</f>
        <v>Монтана</v>
      </c>
      <c r="G57" s="43" t="str">
        <f>'[1]Списък към доклад'!G202</f>
        <v xml:space="preserve">Авариен ремонт на напорен тръбопровод от ПС "Добри дол" до НР V 300 м³ </v>
      </c>
      <c r="H57" s="34">
        <v>283451</v>
      </c>
      <c r="I57" s="29" t="str">
        <f>'[1]Списък към доклад'!I202</f>
        <v>ВиК</v>
      </c>
      <c r="J57" s="54" t="s">
        <v>59</v>
      </c>
      <c r="K57" s="10" t="s">
        <v>307</v>
      </c>
      <c r="L57" s="55" t="s">
        <v>112</v>
      </c>
      <c r="M57" s="55" t="s">
        <v>127</v>
      </c>
      <c r="N57" s="30">
        <v>566901</v>
      </c>
      <c r="O57" s="30">
        <f>256239.05</f>
        <v>256239.05</v>
      </c>
      <c r="P57" s="30">
        <f t="shared" si="0"/>
        <v>27211.950000000012</v>
      </c>
      <c r="Q57" s="29" t="s">
        <v>244</v>
      </c>
      <c r="R57" s="10" t="s">
        <v>269</v>
      </c>
      <c r="S57" s="44">
        <f t="shared" si="1"/>
        <v>0.90399769272290442</v>
      </c>
      <c r="T57" s="10" t="s">
        <v>500</v>
      </c>
      <c r="U57" s="10" t="s">
        <v>351</v>
      </c>
      <c r="V57" s="10" t="s">
        <v>352</v>
      </c>
      <c r="W57" s="10" t="s">
        <v>351</v>
      </c>
      <c r="X57" s="10" t="s">
        <v>357</v>
      </c>
      <c r="Y57" s="28">
        <v>0</v>
      </c>
      <c r="Z57" s="9" t="s">
        <v>501</v>
      </c>
    </row>
    <row r="58" spans="2:26" ht="57.75" customHeight="1" x14ac:dyDescent="0.25">
      <c r="B58" s="29">
        <f t="shared" si="2"/>
        <v>50</v>
      </c>
      <c r="C58" s="29">
        <f>'[1]Списък към доклад'!C207</f>
        <v>60</v>
      </c>
      <c r="D58" s="29">
        <f>'[1]Списък към доклад'!D207</f>
        <v>6208</v>
      </c>
      <c r="E58" s="46" t="str">
        <f>'[1]Списък към доклад'!E207</f>
        <v>Медковец</v>
      </c>
      <c r="F58" s="47" t="str">
        <f>'[1]Списък към доклад'!F207</f>
        <v>Монтана</v>
      </c>
      <c r="G58" s="43" t="str">
        <f>'[1]Списък към доклад'!G207</f>
        <v>Доизграждане и реконструкция на част от водопроводна мрежа на с.Медковец- - първа част</v>
      </c>
      <c r="H58" s="34">
        <v>766781</v>
      </c>
      <c r="I58" s="29" t="str">
        <f>'[1]Списък към доклад'!I207</f>
        <v>ВиК</v>
      </c>
      <c r="J58" s="54" t="s">
        <v>64</v>
      </c>
      <c r="K58" s="10" t="s">
        <v>307</v>
      </c>
      <c r="L58" s="55" t="s">
        <v>112</v>
      </c>
      <c r="M58" s="55" t="s">
        <v>137</v>
      </c>
      <c r="N58" s="30">
        <v>1521561.38</v>
      </c>
      <c r="O58" s="30">
        <v>615323.13</v>
      </c>
      <c r="P58" s="30">
        <f t="shared" si="0"/>
        <v>151457.87</v>
      </c>
      <c r="Q58" s="29"/>
      <c r="R58" s="10" t="s">
        <v>269</v>
      </c>
      <c r="S58" s="44">
        <f t="shared" si="1"/>
        <v>0.80247571340447921</v>
      </c>
      <c r="T58" s="10" t="s">
        <v>461</v>
      </c>
      <c r="U58" s="10" t="s">
        <v>351</v>
      </c>
      <c r="V58" s="10" t="s">
        <v>352</v>
      </c>
      <c r="W58" s="10" t="s">
        <v>351</v>
      </c>
      <c r="X58" s="10" t="s">
        <v>357</v>
      </c>
      <c r="Y58" s="28">
        <f>N58-H58</f>
        <v>754780.37999999989</v>
      </c>
      <c r="Z58" s="9" t="s">
        <v>462</v>
      </c>
    </row>
    <row r="59" spans="2:26" ht="51" customHeight="1" x14ac:dyDescent="0.25">
      <c r="B59" s="29">
        <f t="shared" si="2"/>
        <v>51</v>
      </c>
      <c r="C59" s="29">
        <f>'[1]Списък към доклад'!C251</f>
        <v>104</v>
      </c>
      <c r="D59" s="29">
        <f>'[1]Списък към доклад'!D251</f>
        <v>6211</v>
      </c>
      <c r="E59" s="46" t="str">
        <f>'[1]Списък към доклад'!E251</f>
        <v>Якимово</v>
      </c>
      <c r="F59" s="47" t="str">
        <f>'[1]Списък към доклад'!F251</f>
        <v>Монтана</v>
      </c>
      <c r="G59" s="43" t="str">
        <f>'[1]Списък към доклад'!G251</f>
        <v>Доизграждане на вътрешна водопроводната мрежа, село Дългоделци, община Якимово</v>
      </c>
      <c r="H59" s="34">
        <v>1600206</v>
      </c>
      <c r="I59" s="29" t="str">
        <f>'[1]Списък към доклад'!I251</f>
        <v>ВиК</v>
      </c>
      <c r="J59" s="54" t="s">
        <v>108</v>
      </c>
      <c r="K59" s="10" t="s">
        <v>307</v>
      </c>
      <c r="L59" s="55" t="s">
        <v>112</v>
      </c>
      <c r="M59" s="55" t="s">
        <v>139</v>
      </c>
      <c r="N59" s="30">
        <f>3199601.2+59888</f>
        <v>3259489.2</v>
      </c>
      <c r="O59" s="30">
        <v>1466855.5</v>
      </c>
      <c r="P59" s="30">
        <f>H59-O59</f>
        <v>133350.5</v>
      </c>
      <c r="Q59" s="29" t="s">
        <v>257</v>
      </c>
      <c r="R59" s="10" t="s">
        <v>269</v>
      </c>
      <c r="S59" s="44">
        <f t="shared" si="1"/>
        <v>0.91666666666666663</v>
      </c>
      <c r="T59" s="10" t="s">
        <v>503</v>
      </c>
      <c r="U59" s="10" t="s">
        <v>351</v>
      </c>
      <c r="V59" s="10" t="s">
        <v>352</v>
      </c>
      <c r="W59" s="10" t="s">
        <v>351</v>
      </c>
      <c r="X59" s="10" t="s">
        <v>357</v>
      </c>
      <c r="Y59" s="28">
        <v>1659283</v>
      </c>
      <c r="Z59" s="9" t="s">
        <v>502</v>
      </c>
    </row>
    <row r="60" spans="2:26" ht="56.25" customHeight="1" x14ac:dyDescent="0.25">
      <c r="B60" s="29">
        <f t="shared" si="2"/>
        <v>52</v>
      </c>
      <c r="C60" s="29">
        <f>'[1]Списък към доклад'!C185</f>
        <v>38</v>
      </c>
      <c r="D60" s="29">
        <f>'[1]Списък към доклад'!D185</f>
        <v>7311</v>
      </c>
      <c r="E60" s="46" t="str">
        <f>'[1]Списък към доклад'!E185</f>
        <v>Ихтиман</v>
      </c>
      <c r="F60" s="47" t="str">
        <f>'[1]Списък към доклад'!F185</f>
        <v>София област</v>
      </c>
      <c r="G60" s="43" t="str">
        <f>'[1]Списък към доклад'!G185</f>
        <v xml:space="preserve">Реконструкция на 9 км., част от довеждащия водопровод Габра - Вакарел, разположен на територията на община Ихтиман </v>
      </c>
      <c r="H60" s="34">
        <v>2076624</v>
      </c>
      <c r="I60" s="29" t="str">
        <f>'[1]Списък към доклад'!I185</f>
        <v>ВиК</v>
      </c>
      <c r="J60" s="54" t="s">
        <v>43</v>
      </c>
      <c r="K60" s="10" t="s">
        <v>308</v>
      </c>
      <c r="L60" s="55" t="s">
        <v>112</v>
      </c>
      <c r="M60" s="55" t="s">
        <v>170</v>
      </c>
      <c r="N60" s="30">
        <f>4153247.62</f>
        <v>4153247.62</v>
      </c>
      <c r="O60" s="30">
        <f>1030661.69+831263.27+65685.87</f>
        <v>1927610.83</v>
      </c>
      <c r="P60" s="30">
        <f t="shared" si="0"/>
        <v>149013.16999999993</v>
      </c>
      <c r="Q60" s="10" t="s">
        <v>320</v>
      </c>
      <c r="R60" s="10" t="s">
        <v>269</v>
      </c>
      <c r="S60" s="44">
        <f t="shared" si="1"/>
        <v>0.92824258508039981</v>
      </c>
      <c r="T60" s="10"/>
      <c r="U60" s="10" t="s">
        <v>351</v>
      </c>
      <c r="V60" s="10" t="s">
        <v>352</v>
      </c>
      <c r="W60" s="10" t="s">
        <v>351</v>
      </c>
      <c r="X60" s="10" t="s">
        <v>357</v>
      </c>
      <c r="Y60" s="28">
        <v>2076623</v>
      </c>
      <c r="Z60" s="9" t="s">
        <v>465</v>
      </c>
    </row>
    <row r="61" spans="2:26" ht="60" customHeight="1" x14ac:dyDescent="0.25">
      <c r="B61" s="29">
        <f t="shared" si="2"/>
        <v>53</v>
      </c>
      <c r="C61" s="29">
        <f>'[1]Списък към доклад'!C194</f>
        <v>47</v>
      </c>
      <c r="D61" s="29">
        <f>'[1]Списък към доклад'!D194</f>
        <v>7312</v>
      </c>
      <c r="E61" s="46" t="str">
        <f>'[1]Списък към доклад'!E194</f>
        <v>Копривщица</v>
      </c>
      <c r="F61" s="47" t="str">
        <f>'[1]Списък към доклад'!F194</f>
        <v>София област</v>
      </c>
      <c r="G61" s="43" t="str">
        <f>'[1]Списък към доклад'!G194</f>
        <v>Подмяна на водопровод и канализация на бул. „Хаджи Ненчо Палавеев“ -Източен и Западен бряг на река Тополница</v>
      </c>
      <c r="H61" s="34">
        <v>2252097</v>
      </c>
      <c r="I61" s="29" t="str">
        <f>'[1]Списък към доклад'!I194</f>
        <v>ВиК</v>
      </c>
      <c r="J61" s="54" t="s">
        <v>51</v>
      </c>
      <c r="K61" s="10" t="s">
        <v>308</v>
      </c>
      <c r="L61" s="55" t="s">
        <v>112</v>
      </c>
      <c r="M61" s="55" t="s">
        <v>171</v>
      </c>
      <c r="N61" s="30">
        <f>2562646.79+1883528.9+7500+23850</f>
        <v>4477525.6899999995</v>
      </c>
      <c r="O61" s="30">
        <f>1125000</f>
        <v>1125000</v>
      </c>
      <c r="P61" s="30">
        <f t="shared" si="0"/>
        <v>1127097</v>
      </c>
      <c r="Q61" s="29" t="s">
        <v>230</v>
      </c>
      <c r="R61" s="10" t="s">
        <v>269</v>
      </c>
      <c r="S61" s="44">
        <f t="shared" si="1"/>
        <v>0.49953443390759811</v>
      </c>
      <c r="T61" s="10" t="s">
        <v>394</v>
      </c>
      <c r="U61" s="10" t="s">
        <v>351</v>
      </c>
      <c r="V61" s="10" t="s">
        <v>352</v>
      </c>
      <c r="W61" s="10" t="s">
        <v>351</v>
      </c>
      <c r="X61" s="10" t="s">
        <v>357</v>
      </c>
      <c r="Y61" s="28">
        <v>2225428</v>
      </c>
      <c r="Z61" s="10" t="s">
        <v>466</v>
      </c>
    </row>
    <row r="62" spans="2:26" ht="51" customHeight="1" x14ac:dyDescent="0.25">
      <c r="B62" s="29">
        <f t="shared" si="2"/>
        <v>54</v>
      </c>
      <c r="C62" s="29">
        <f>'[1]Списък към доклад'!C172</f>
        <v>25</v>
      </c>
      <c r="D62" s="29">
        <f>'[1]Списък към доклад'!D172</f>
        <v>7402</v>
      </c>
      <c r="E62" s="46" t="str">
        <f>'[1]Списък към доклад'!E172</f>
        <v>Гурково</v>
      </c>
      <c r="F62" s="47" t="str">
        <f>'[1]Списък към доклад'!F172</f>
        <v>Стара Загора</v>
      </c>
      <c r="G62" s="43" t="str">
        <f>'[1]Списък към доклад'!G172</f>
        <v>Реконструкция на вътрешна водопроводна мрежа на с.Паничерево, община Гурково - втори етап</v>
      </c>
      <c r="H62" s="34">
        <v>660157</v>
      </c>
      <c r="I62" s="29" t="str">
        <f>'[1]Списък към доклад'!I172</f>
        <v>ВиК</v>
      </c>
      <c r="J62" s="54" t="s">
        <v>30</v>
      </c>
      <c r="K62" s="29" t="s">
        <v>309</v>
      </c>
      <c r="L62" s="55" t="s">
        <v>112</v>
      </c>
      <c r="M62" s="55" t="s">
        <v>140</v>
      </c>
      <c r="N62" s="30">
        <f>1057214.96+43750+21490</f>
        <v>1122454.96</v>
      </c>
      <c r="O62" s="30">
        <v>549286.67000000004</v>
      </c>
      <c r="P62" s="30">
        <f t="shared" si="0"/>
        <v>110870.32999999996</v>
      </c>
      <c r="Q62" s="29"/>
      <c r="R62" s="10" t="s">
        <v>270</v>
      </c>
      <c r="S62" s="44">
        <f t="shared" si="1"/>
        <v>0.8320546021628189</v>
      </c>
      <c r="T62" s="10" t="s">
        <v>493</v>
      </c>
      <c r="U62" s="10" t="s">
        <v>351</v>
      </c>
      <c r="V62" s="10" t="s">
        <v>352</v>
      </c>
      <c r="W62" s="10" t="s">
        <v>351</v>
      </c>
      <c r="X62" s="10" t="s">
        <v>357</v>
      </c>
      <c r="Y62" s="28">
        <f>N62-H62</f>
        <v>462297.95999999996</v>
      </c>
      <c r="Z62" s="9" t="s">
        <v>494</v>
      </c>
    </row>
    <row r="63" spans="2:26" ht="105" customHeight="1" x14ac:dyDescent="0.25">
      <c r="B63" s="29">
        <f t="shared" si="2"/>
        <v>55</v>
      </c>
      <c r="C63" s="29">
        <f>'[1]Списък към доклад'!C186</f>
        <v>39</v>
      </c>
      <c r="D63" s="29">
        <f>'[1]Списък към доклад'!D186</f>
        <v>7404</v>
      </c>
      <c r="E63" s="46" t="str">
        <f>'[1]Списък към доклад'!E186</f>
        <v xml:space="preserve">Казанлък </v>
      </c>
      <c r="F63" s="47" t="str">
        <f>'[1]Списък към доклад'!F186</f>
        <v>Стара Загора</v>
      </c>
      <c r="G63" s="43" t="str">
        <f>'[1]Списък към доклад'!G186</f>
        <v>"Изграждане на ВиК инфраструктура за територията на град Крън, I етап на строителство, III подетап" - Доизграждане на Гл. колектор I - от о.к. 244 до о.к. 12 с второстепенна канализационна мрежа към него за квартали 92, 93, 40, 80, 79, 78, 77, 76, 75, 74, 73, 39, 38"</v>
      </c>
      <c r="H63" s="34">
        <v>1699292</v>
      </c>
      <c r="I63" s="29" t="str">
        <f>'[1]Списък към доклад'!I186</f>
        <v>ВиК</v>
      </c>
      <c r="J63" s="54" t="s">
        <v>44</v>
      </c>
      <c r="K63" s="29" t="s">
        <v>309</v>
      </c>
      <c r="L63" s="55" t="s">
        <v>112</v>
      </c>
      <c r="M63" s="55" t="s">
        <v>175</v>
      </c>
      <c r="N63" s="30">
        <f>3292106.92+29990+27000</f>
        <v>3349096.92</v>
      </c>
      <c r="O63" s="30">
        <v>5400</v>
      </c>
      <c r="P63" s="30">
        <f t="shared" si="0"/>
        <v>1693892</v>
      </c>
      <c r="Q63" s="29"/>
      <c r="R63" s="10" t="s">
        <v>270</v>
      </c>
      <c r="S63" s="44">
        <f t="shared" si="1"/>
        <v>3.1777940459909184E-3</v>
      </c>
      <c r="T63" s="10" t="s">
        <v>406</v>
      </c>
      <c r="U63" s="10" t="s">
        <v>351</v>
      </c>
      <c r="V63" s="10" t="s">
        <v>352</v>
      </c>
      <c r="W63" s="10" t="s">
        <v>351</v>
      </c>
      <c r="X63" s="10" t="s">
        <v>357</v>
      </c>
      <c r="Y63" s="19">
        <f>N63-H63</f>
        <v>1649804.92</v>
      </c>
      <c r="Z63" s="9" t="s">
        <v>407</v>
      </c>
    </row>
    <row r="64" spans="2:26" ht="48" customHeight="1" x14ac:dyDescent="0.25">
      <c r="B64" s="29">
        <f t="shared" si="2"/>
        <v>56</v>
      </c>
      <c r="C64" s="29">
        <f>'[1]Списък към доклад'!C211</f>
        <v>64</v>
      </c>
      <c r="D64" s="29">
        <f>'[1]Списък към доклад'!D211</f>
        <v>7405</v>
      </c>
      <c r="E64" s="46" t="str">
        <f>'[1]Списък към доклад'!E211</f>
        <v>Мъглиж</v>
      </c>
      <c r="F64" s="47" t="str">
        <f>'[1]Списък към доклад'!F211</f>
        <v>Стара Загора</v>
      </c>
      <c r="G64" s="43" t="str">
        <f>'[1]Списък към доклад'!G211</f>
        <v xml:space="preserve">Реконструкция на уличен водопровод в с.Ягода, общ.Мъглиж - ІІІ етап </v>
      </c>
      <c r="H64" s="34">
        <v>1458333</v>
      </c>
      <c r="I64" s="29" t="str">
        <f>'[1]Списък към доклад'!I211</f>
        <v>ВиК</v>
      </c>
      <c r="J64" s="54" t="s">
        <v>68</v>
      </c>
      <c r="K64" s="29" t="s">
        <v>309</v>
      </c>
      <c r="L64" s="55" t="s">
        <v>112</v>
      </c>
      <c r="M64" s="55" t="s">
        <v>176</v>
      </c>
      <c r="N64" s="30">
        <f>2329797.92</f>
        <v>2329797.92</v>
      </c>
      <c r="O64" s="30">
        <v>772652.86</v>
      </c>
      <c r="P64" s="30">
        <f t="shared" si="0"/>
        <v>685680.14</v>
      </c>
      <c r="Q64" s="29" t="s">
        <v>251</v>
      </c>
      <c r="R64" s="10" t="s">
        <v>270</v>
      </c>
      <c r="S64" s="44">
        <f t="shared" si="1"/>
        <v>0.52981922510153712</v>
      </c>
      <c r="T64" s="10" t="s">
        <v>408</v>
      </c>
      <c r="U64" s="10" t="s">
        <v>351</v>
      </c>
      <c r="V64" s="10" t="s">
        <v>352</v>
      </c>
      <c r="W64" s="10" t="s">
        <v>351</v>
      </c>
      <c r="X64" s="10" t="s">
        <v>357</v>
      </c>
      <c r="Y64" s="28">
        <v>871464</v>
      </c>
      <c r="Z64" s="10" t="s">
        <v>495</v>
      </c>
    </row>
    <row r="65" spans="1:26" ht="45.75" customHeight="1" x14ac:dyDescent="0.25">
      <c r="B65" s="29">
        <f t="shared" si="2"/>
        <v>57</v>
      </c>
      <c r="C65" s="29">
        <f>'[1]Списък към доклад'!C215</f>
        <v>68</v>
      </c>
      <c r="D65" s="29">
        <f>'[1]Списък към доклад'!D215</f>
        <v>7407</v>
      </c>
      <c r="E65" s="46" t="str">
        <f>'[1]Списък към доклад'!E215</f>
        <v>Опан</v>
      </c>
      <c r="F65" s="47" t="str">
        <f>'[1]Списък към доклад'!F215</f>
        <v>Стара Загора</v>
      </c>
      <c r="G65" s="43" t="s">
        <v>335</v>
      </c>
      <c r="H65" s="34">
        <v>550706</v>
      </c>
      <c r="I65" s="29" t="str">
        <f>'[1]Списък към доклад'!I215</f>
        <v>ВиК</v>
      </c>
      <c r="J65" s="54" t="s">
        <v>72</v>
      </c>
      <c r="K65" s="29" t="s">
        <v>309</v>
      </c>
      <c r="L65" s="55" t="s">
        <v>112</v>
      </c>
      <c r="M65" s="55" t="s">
        <v>141</v>
      </c>
      <c r="N65" s="30">
        <f>1101410.76+2000+2000</f>
        <v>1105410.76</v>
      </c>
      <c r="O65" s="30">
        <v>543520.81999999995</v>
      </c>
      <c r="P65" s="30">
        <f t="shared" si="0"/>
        <v>7185.1800000000512</v>
      </c>
      <c r="Q65" s="29"/>
      <c r="R65" s="10" t="s">
        <v>270</v>
      </c>
      <c r="S65" s="44">
        <f t="shared" si="1"/>
        <v>0.98695278424422461</v>
      </c>
      <c r="T65" s="10" t="s">
        <v>492</v>
      </c>
      <c r="U65" s="10" t="s">
        <v>351</v>
      </c>
      <c r="V65" s="10" t="s">
        <v>352</v>
      </c>
      <c r="W65" s="10" t="s">
        <v>351</v>
      </c>
      <c r="X65" s="10" t="s">
        <v>357</v>
      </c>
      <c r="Y65" s="34">
        <f>N65-H65</f>
        <v>554704.76</v>
      </c>
      <c r="Z65" s="10" t="s">
        <v>480</v>
      </c>
    </row>
    <row r="66" spans="1:26" ht="46.5" customHeight="1" x14ac:dyDescent="0.25">
      <c r="B66" s="29">
        <f t="shared" si="2"/>
        <v>58</v>
      </c>
      <c r="C66" s="29">
        <f>'[1]Списък към доклад'!C158</f>
        <v>11</v>
      </c>
      <c r="D66" s="29">
        <f>'[1]Списък към доклад'!D158</f>
        <v>5601</v>
      </c>
      <c r="E66" s="46" t="str">
        <f>'[1]Списък към доклад'!E158</f>
        <v>Борован</v>
      </c>
      <c r="F66" s="47" t="str">
        <f>'[1]Списък към доклад'!F158</f>
        <v>Враца</v>
      </c>
      <c r="G66" s="43" t="str">
        <f>'[1]Списък към доклад'!G158</f>
        <v>Реконструкция на част от водопроводната мрежа на с.Борован</v>
      </c>
      <c r="H66" s="34">
        <v>1197623</v>
      </c>
      <c r="I66" s="29" t="str">
        <f>'[1]Списък към доклад'!I158</f>
        <v>ВиК</v>
      </c>
      <c r="J66" s="54" t="s">
        <v>16</v>
      </c>
      <c r="K66" s="29" t="s">
        <v>310</v>
      </c>
      <c r="L66" s="55" t="s">
        <v>112</v>
      </c>
      <c r="M66" s="55" t="s">
        <v>200</v>
      </c>
      <c r="N66" s="30">
        <f>1992475.12+29068.75+29068.75</f>
        <v>2050612.62</v>
      </c>
      <c r="O66" s="30">
        <v>523233.23</v>
      </c>
      <c r="P66" s="30">
        <f t="shared" si="0"/>
        <v>674389.77</v>
      </c>
      <c r="Q66" s="29" t="s">
        <v>235</v>
      </c>
      <c r="R66" s="27" t="s">
        <v>272</v>
      </c>
      <c r="S66" s="44">
        <f t="shared" si="1"/>
        <v>0.43689310409035231</v>
      </c>
      <c r="T66" s="27"/>
      <c r="U66" s="10" t="s">
        <v>351</v>
      </c>
      <c r="V66" s="10" t="s">
        <v>352</v>
      </c>
      <c r="W66" s="10" t="s">
        <v>351</v>
      </c>
      <c r="X66" s="10" t="s">
        <v>357</v>
      </c>
      <c r="Y66" s="28">
        <v>852989</v>
      </c>
      <c r="Z66" s="10" t="s">
        <v>481</v>
      </c>
    </row>
    <row r="67" spans="1:26" ht="54" customHeight="1" x14ac:dyDescent="0.25">
      <c r="B67" s="29">
        <f t="shared" si="2"/>
        <v>59</v>
      </c>
      <c r="C67" s="29">
        <f>'[1]Списък към доклад'!C162</f>
        <v>15</v>
      </c>
      <c r="D67" s="29">
        <f>'[1]Списък към доклад'!D162</f>
        <v>5602</v>
      </c>
      <c r="E67" s="46" t="str">
        <f>'[1]Списък към доклад'!E162</f>
        <v>Бяла Слатина</v>
      </c>
      <c r="F67" s="47" t="str">
        <f>'[1]Списък към доклад'!F162</f>
        <v>Враца</v>
      </c>
      <c r="G67" s="43" t="str">
        <f>'[1]Списък към доклад'!G162</f>
        <v>Реконструкция и изграждане на нови участъци на част от ВВМ на с. Попица, общ. Бяла Слатина</v>
      </c>
      <c r="H67" s="34">
        <v>1383728</v>
      </c>
      <c r="I67" s="29" t="str">
        <f>'[1]Списък към доклад'!I162</f>
        <v>ВиК</v>
      </c>
      <c r="J67" s="54" t="s">
        <v>20</v>
      </c>
      <c r="K67" s="29" t="s">
        <v>310</v>
      </c>
      <c r="L67" s="55" t="s">
        <v>112</v>
      </c>
      <c r="M67" s="55" t="s">
        <v>142</v>
      </c>
      <c r="N67" s="30">
        <f>2709455.2+15350+20120</f>
        <v>2744925.2</v>
      </c>
      <c r="O67" s="30">
        <v>1348106.1</v>
      </c>
      <c r="P67" s="30">
        <f t="shared" si="0"/>
        <v>35621.899999999907</v>
      </c>
      <c r="Q67" s="29" t="s">
        <v>237</v>
      </c>
      <c r="R67" s="27" t="s">
        <v>272</v>
      </c>
      <c r="S67" s="44">
        <f t="shared" si="1"/>
        <v>0.97425657354624617</v>
      </c>
      <c r="T67" s="27"/>
      <c r="U67" s="10" t="s">
        <v>351</v>
      </c>
      <c r="V67" s="10" t="s">
        <v>352</v>
      </c>
      <c r="W67" s="10" t="s">
        <v>351</v>
      </c>
      <c r="X67" s="10" t="s">
        <v>351</v>
      </c>
      <c r="Y67" s="28">
        <v>1361197</v>
      </c>
      <c r="Z67" s="10" t="s">
        <v>482</v>
      </c>
    </row>
    <row r="68" spans="1:26" ht="75" x14ac:dyDescent="0.25">
      <c r="B68" s="29">
        <f t="shared" si="2"/>
        <v>60</v>
      </c>
      <c r="C68" s="29">
        <f>'[1]Списък към доклад'!C208</f>
        <v>61</v>
      </c>
      <c r="D68" s="29">
        <f>'[1]Списък към доклад'!D208</f>
        <v>5607</v>
      </c>
      <c r="E68" s="46" t="str">
        <f>'[1]Списък към доклад'!E208</f>
        <v>Мездра</v>
      </c>
      <c r="F68" s="47" t="str">
        <f>'[1]Списък към доклад'!F208</f>
        <v>Враца</v>
      </c>
      <c r="G68" s="43" t="str">
        <f>'[1]Списък към доклад'!G208</f>
        <v>Изграждане на нов довеждащ водопровод в трасето на съществуващ водопровод от каптаж „Пещта“ до с. Горна Кремена и с. Долна Кремена, община Мездра,област Враца</v>
      </c>
      <c r="H68" s="34">
        <v>1727907</v>
      </c>
      <c r="I68" s="29" t="str">
        <f>'[1]Списък към доклад'!I208</f>
        <v>ВиК</v>
      </c>
      <c r="J68" s="54" t="s">
        <v>65</v>
      </c>
      <c r="K68" s="29" t="s">
        <v>310</v>
      </c>
      <c r="L68" s="55" t="s">
        <v>112</v>
      </c>
      <c r="M68" s="55" t="s">
        <v>180</v>
      </c>
      <c r="N68" s="30">
        <f>2809011.12+13000+22000</f>
        <v>2844011.12</v>
      </c>
      <c r="O68" s="30">
        <v>1032244</v>
      </c>
      <c r="P68" s="30">
        <f t="shared" si="0"/>
        <v>695663</v>
      </c>
      <c r="Q68" s="29" t="s">
        <v>220</v>
      </c>
      <c r="R68" s="27" t="s">
        <v>272</v>
      </c>
      <c r="S68" s="44">
        <f t="shared" si="1"/>
        <v>0.5973955774240165</v>
      </c>
      <c r="T68" s="27"/>
      <c r="U68" s="10" t="s">
        <v>351</v>
      </c>
      <c r="V68" s="10" t="s">
        <v>352</v>
      </c>
      <c r="W68" s="10" t="s">
        <v>351</v>
      </c>
      <c r="X68" s="10" t="s">
        <v>357</v>
      </c>
      <c r="Y68" s="28">
        <f>N68-H68</f>
        <v>1116104.1200000001</v>
      </c>
      <c r="Z68" s="10" t="s">
        <v>483</v>
      </c>
    </row>
    <row r="69" spans="1:26" ht="62.25" customHeight="1" x14ac:dyDescent="0.25">
      <c r="B69" s="29">
        <f t="shared" si="2"/>
        <v>61</v>
      </c>
      <c r="C69" s="29">
        <f>'[1]Списък към доклад'!C209</f>
        <v>62</v>
      </c>
      <c r="D69" s="29">
        <f>'[1]Списък към доклад'!D209</f>
        <v>5608</v>
      </c>
      <c r="E69" s="46" t="str">
        <f>'[1]Списък към доклад'!E209</f>
        <v>Мизия</v>
      </c>
      <c r="F69" s="47" t="str">
        <f>'[1]Списък към доклад'!F209</f>
        <v>Враца</v>
      </c>
      <c r="G69" s="43" t="str">
        <f>'[1]Списък към доклад'!G209</f>
        <v>Доизграждане, реконструкция и подмяна на участъци от водопроводната мрежа на с. Софрониево, община Мизия</v>
      </c>
      <c r="H69" s="34">
        <v>859250</v>
      </c>
      <c r="I69" s="29" t="str">
        <f>'[1]Списък към доклад'!I209</f>
        <v>ВиК</v>
      </c>
      <c r="J69" s="54" t="s">
        <v>66</v>
      </c>
      <c r="K69" s="29" t="s">
        <v>310</v>
      </c>
      <c r="L69" s="55" t="s">
        <v>112</v>
      </c>
      <c r="M69" s="55" t="s">
        <v>143</v>
      </c>
      <c r="N69" s="30">
        <f>1662500.53+28000+28000</f>
        <v>1718500.53</v>
      </c>
      <c r="O69" s="30">
        <v>845250.13</v>
      </c>
      <c r="P69" s="30">
        <f t="shared" si="0"/>
        <v>13999.869999999995</v>
      </c>
      <c r="Q69" s="29" t="s">
        <v>238</v>
      </c>
      <c r="R69" s="27" t="s">
        <v>272</v>
      </c>
      <c r="S69" s="44">
        <f t="shared" si="1"/>
        <v>0.98370687227233056</v>
      </c>
      <c r="T69" s="27"/>
      <c r="U69" s="10" t="s">
        <v>351</v>
      </c>
      <c r="V69" s="10" t="s">
        <v>352</v>
      </c>
      <c r="W69" s="10" t="s">
        <v>351</v>
      </c>
      <c r="X69" s="10" t="s">
        <v>357</v>
      </c>
      <c r="Y69" s="34">
        <v>859250</v>
      </c>
      <c r="Z69" s="10" t="s">
        <v>515</v>
      </c>
    </row>
    <row r="70" spans="1:26" ht="54" customHeight="1" x14ac:dyDescent="0.25">
      <c r="B70" s="29">
        <f t="shared" si="2"/>
        <v>62</v>
      </c>
      <c r="C70" s="29">
        <f>'[1]Списък към доклад'!C216</f>
        <v>69</v>
      </c>
      <c r="D70" s="29">
        <f>'[1]Списък към доклад'!D216</f>
        <v>5609</v>
      </c>
      <c r="E70" s="46" t="str">
        <f>'[1]Списък към доклад'!E216</f>
        <v>Оряхово</v>
      </c>
      <c r="F70" s="47" t="str">
        <f>'[1]Списък към доклад'!F216</f>
        <v>Враца</v>
      </c>
      <c r="G70" s="43" t="str">
        <f>'[1]Списък към доклад'!G216</f>
        <v>Реконструкция и рехабилитация на водопровод в село Лесковец, общ. Оряхово</v>
      </c>
      <c r="H70" s="34">
        <v>782168</v>
      </c>
      <c r="I70" s="29" t="str">
        <f>'[1]Списък към доклад'!I216</f>
        <v>ВиК</v>
      </c>
      <c r="J70" s="54" t="s">
        <v>73</v>
      </c>
      <c r="K70" s="29" t="s">
        <v>310</v>
      </c>
      <c r="L70" s="55" t="s">
        <v>112</v>
      </c>
      <c r="M70" s="55" t="s">
        <v>181</v>
      </c>
      <c r="N70" s="30">
        <v>0</v>
      </c>
      <c r="O70" s="30">
        <v>0</v>
      </c>
      <c r="P70" s="30">
        <f t="shared" si="0"/>
        <v>782168</v>
      </c>
      <c r="Q70" s="29"/>
      <c r="R70" s="27" t="s">
        <v>272</v>
      </c>
      <c r="S70" s="44">
        <f t="shared" si="1"/>
        <v>0</v>
      </c>
      <c r="T70" s="27" t="s">
        <v>533</v>
      </c>
      <c r="U70" s="10"/>
      <c r="V70" s="10" t="s">
        <v>531</v>
      </c>
      <c r="W70" s="10" t="s">
        <v>357</v>
      </c>
      <c r="X70" s="10" t="s">
        <v>357</v>
      </c>
      <c r="Y70" s="28">
        <v>0</v>
      </c>
      <c r="Z70" s="40" t="s">
        <v>532</v>
      </c>
    </row>
    <row r="71" spans="1:26" ht="54" customHeight="1" x14ac:dyDescent="0.25">
      <c r="B71" s="29">
        <f t="shared" si="2"/>
        <v>63</v>
      </c>
      <c r="C71" s="29">
        <f>'[1]Списък към доклад'!C242</f>
        <v>95</v>
      </c>
      <c r="D71" s="29">
        <f>'[1]Списък към доклад'!D242</f>
        <v>5611</v>
      </c>
      <c r="E71" s="46" t="str">
        <f>'[1]Списък към доклад'!E242</f>
        <v>Хайредин</v>
      </c>
      <c r="F71" s="47" t="str">
        <f>'[1]Списък към доклад'!F242</f>
        <v>Враца</v>
      </c>
      <c r="G71" s="43" t="str">
        <f>'[1]Списък към доклад'!G242</f>
        <v>Изпълнение СМР за водопроводни клонове - главни клонове ВВМ - 1 етап, с. Михайлово</v>
      </c>
      <c r="H71" s="34">
        <v>1639803</v>
      </c>
      <c r="I71" s="29" t="str">
        <f>'[1]Списък към доклад'!I242</f>
        <v>ВиК</v>
      </c>
      <c r="J71" s="54" t="s">
        <v>99</v>
      </c>
      <c r="K71" s="29" t="s">
        <v>310</v>
      </c>
      <c r="L71" s="55" t="s">
        <v>112</v>
      </c>
      <c r="M71" s="55" t="s">
        <v>205</v>
      </c>
      <c r="N71" s="30">
        <v>0</v>
      </c>
      <c r="O71" s="30">
        <v>0</v>
      </c>
      <c r="P71" s="30">
        <f t="shared" si="0"/>
        <v>1639803</v>
      </c>
      <c r="Q71" s="29"/>
      <c r="R71" s="27" t="s">
        <v>272</v>
      </c>
      <c r="S71" s="44">
        <f t="shared" si="1"/>
        <v>0</v>
      </c>
      <c r="T71" s="27"/>
      <c r="U71" s="27"/>
      <c r="V71" s="10" t="s">
        <v>363</v>
      </c>
      <c r="W71" s="10" t="s">
        <v>357</v>
      </c>
      <c r="X71" s="10" t="s">
        <v>357</v>
      </c>
      <c r="Y71" s="28">
        <v>0</v>
      </c>
      <c r="Z71" s="10" t="s">
        <v>432</v>
      </c>
    </row>
    <row r="72" spans="1:26" ht="63.75" customHeight="1" x14ac:dyDescent="0.25">
      <c r="B72" s="29">
        <f t="shared" si="2"/>
        <v>64</v>
      </c>
      <c r="C72" s="29">
        <f>'[1]Списък към доклад'!C205</f>
        <v>58</v>
      </c>
      <c r="D72" s="29">
        <f>'[1]Списък към доклад'!D205</f>
        <v>5205</v>
      </c>
      <c r="E72" s="46" t="str">
        <f>'[1]Списък към доклад'!E205</f>
        <v>Малко Търново</v>
      </c>
      <c r="F72" s="47" t="str">
        <f>'[1]Списък към доклад'!F205</f>
        <v>Бургас</v>
      </c>
      <c r="G72" s="43" t="str">
        <f>'[1]Списък към доклад'!G205</f>
        <v>Реконструкция на компрометирани участъци от водопроводната мрежа в с. Звездец, община Малко Търново</v>
      </c>
      <c r="H72" s="34">
        <v>1175928</v>
      </c>
      <c r="I72" s="29" t="str">
        <f>'[1]Списък към доклад'!I205</f>
        <v>ВиК</v>
      </c>
      <c r="J72" s="54" t="s">
        <v>62</v>
      </c>
      <c r="K72" s="29" t="s">
        <v>310</v>
      </c>
      <c r="L72" s="55" t="s">
        <v>112</v>
      </c>
      <c r="M72" s="55" t="s">
        <v>182</v>
      </c>
      <c r="N72" s="30">
        <f>2351856</f>
        <v>2351856</v>
      </c>
      <c r="O72" s="30">
        <v>979940</v>
      </c>
      <c r="P72" s="30">
        <f t="shared" si="0"/>
        <v>195988</v>
      </c>
      <c r="Q72" s="29"/>
      <c r="R72" s="10" t="s">
        <v>274</v>
      </c>
      <c r="S72" s="44">
        <f t="shared" si="1"/>
        <v>0.83333333333333337</v>
      </c>
      <c r="T72" s="10" t="s">
        <v>446</v>
      </c>
      <c r="U72" s="10" t="s">
        <v>351</v>
      </c>
      <c r="V72" s="10" t="s">
        <v>352</v>
      </c>
      <c r="W72" s="10" t="s">
        <v>351</v>
      </c>
      <c r="X72" s="10" t="s">
        <v>357</v>
      </c>
      <c r="Y72" s="28">
        <f>N72-H72</f>
        <v>1175928</v>
      </c>
      <c r="Z72" s="10" t="s">
        <v>484</v>
      </c>
    </row>
    <row r="73" spans="1:26" ht="52.5" customHeight="1" x14ac:dyDescent="0.25">
      <c r="B73" s="29">
        <f t="shared" si="2"/>
        <v>65</v>
      </c>
      <c r="C73" s="29">
        <f>'[1]Списък към доклад'!C212</f>
        <v>65</v>
      </c>
      <c r="D73" s="29">
        <f>'[1]Списък към доклад'!D212</f>
        <v>5206</v>
      </c>
      <c r="E73" s="46" t="str">
        <f>'[1]Списък към доклад'!E212</f>
        <v>Несебър</v>
      </c>
      <c r="F73" s="47" t="str">
        <f>'[1]Списък към доклад'!F212</f>
        <v>Бургас</v>
      </c>
      <c r="G73" s="43" t="str">
        <f>'[1]Списък към доклад'!G212</f>
        <v>Селищна водопроводна система на с.Гильовца ,община Несебър - 1 етап</v>
      </c>
      <c r="H73" s="34">
        <v>1492187</v>
      </c>
      <c r="I73" s="29" t="str">
        <f>'[1]Списък към доклад'!I212</f>
        <v>ВиК</v>
      </c>
      <c r="J73" s="54" t="s">
        <v>69</v>
      </c>
      <c r="K73" s="29" t="s">
        <v>310</v>
      </c>
      <c r="L73" s="55" t="s">
        <v>112</v>
      </c>
      <c r="M73" s="55" t="s">
        <v>144</v>
      </c>
      <c r="N73" s="30">
        <f>12650+2902204.33</f>
        <v>2914854.33</v>
      </c>
      <c r="O73" s="30">
        <v>1060168.56</v>
      </c>
      <c r="P73" s="30">
        <f t="shared" si="0"/>
        <v>432018.43999999994</v>
      </c>
      <c r="Q73" s="29" t="s">
        <v>259</v>
      </c>
      <c r="R73" s="10" t="s">
        <v>273</v>
      </c>
      <c r="S73" s="44">
        <f t="shared" si="1"/>
        <v>0.71047969188848314</v>
      </c>
      <c r="T73" s="10"/>
      <c r="U73" s="10" t="s">
        <v>351</v>
      </c>
      <c r="V73" s="10" t="s">
        <v>352</v>
      </c>
      <c r="W73" s="10" t="s">
        <v>351</v>
      </c>
      <c r="X73" s="10" t="s">
        <v>357</v>
      </c>
      <c r="Y73" s="28">
        <v>1422667</v>
      </c>
      <c r="Z73" s="10" t="s">
        <v>485</v>
      </c>
    </row>
    <row r="74" spans="1:26" ht="105" customHeight="1" x14ac:dyDescent="0.25">
      <c r="B74" s="29">
        <f t="shared" si="2"/>
        <v>66</v>
      </c>
      <c r="C74" s="29">
        <f>'[1]Списък към доклад'!C176</f>
        <v>29</v>
      </c>
      <c r="D74" s="29">
        <f>'[1]Списък към доклад'!D176</f>
        <v>6503</v>
      </c>
      <c r="E74" s="46" t="str">
        <f>'[1]Списък към доклад'!E176</f>
        <v>Долна Митрополия</v>
      </c>
      <c r="F74" s="47" t="str">
        <f>'[1]Списък към доклад'!F176</f>
        <v>Плевен</v>
      </c>
      <c r="G74" s="43" t="str">
        <f>'[1]Списък към доклад'!G176</f>
        <v>Изграждане на нов водопровод за допълнително водоснабдяване на гр. Тръстеник от съществуваща помпена станция в местността Ченгене сарай в землището на с. Ореховица до напорен резервоар в землището на гр. Тръстеник, община Долна Митрополия</v>
      </c>
      <c r="H74" s="34">
        <v>659317</v>
      </c>
      <c r="I74" s="29" t="str">
        <f>'[1]Списък към доклад'!I176</f>
        <v>ВиК</v>
      </c>
      <c r="J74" s="54" t="s">
        <v>34</v>
      </c>
      <c r="K74" s="10" t="s">
        <v>303</v>
      </c>
      <c r="L74" s="55" t="s">
        <v>112</v>
      </c>
      <c r="M74" s="55" t="s">
        <v>154</v>
      </c>
      <c r="N74" s="30">
        <v>2785133</v>
      </c>
      <c r="O74" s="30">
        <f>258812.08+15903.34+323041.12</f>
        <v>597756.54</v>
      </c>
      <c r="P74" s="30">
        <f t="shared" ref="P74:P113" si="3">H74-O74</f>
        <v>61560.459999999963</v>
      </c>
      <c r="Q74" s="45" t="s">
        <v>290</v>
      </c>
      <c r="R74" s="10" t="s">
        <v>274</v>
      </c>
      <c r="S74" s="44">
        <f t="shared" ref="S74:S114" si="4">O74/H74</f>
        <v>0.90662995190477425</v>
      </c>
      <c r="T74" s="10" t="s">
        <v>518</v>
      </c>
      <c r="U74" s="10" t="s">
        <v>351</v>
      </c>
      <c r="V74" s="10" t="s">
        <v>352</v>
      </c>
      <c r="W74" s="10" t="s">
        <v>351</v>
      </c>
      <c r="X74" s="10" t="s">
        <v>357</v>
      </c>
      <c r="Y74" s="37">
        <v>659317</v>
      </c>
      <c r="Z74" s="36" t="s">
        <v>517</v>
      </c>
    </row>
    <row r="75" spans="1:26" ht="57" customHeight="1" x14ac:dyDescent="0.25">
      <c r="B75" s="29">
        <f t="shared" ref="B75:B113" si="5">B74+1</f>
        <v>67</v>
      </c>
      <c r="C75" s="29">
        <f>'[1]Списък към доклад'!C177</f>
        <v>30</v>
      </c>
      <c r="D75" s="29">
        <f>'[1]Списък към доклад'!D177</f>
        <v>6504</v>
      </c>
      <c r="E75" s="46" t="str">
        <f>'[1]Списък към доклад'!E177</f>
        <v>Долни Дъбник</v>
      </c>
      <c r="F75" s="47" t="str">
        <f>'[1]Списък към доклад'!F177</f>
        <v>Плевен</v>
      </c>
      <c r="G75" s="43" t="str">
        <f>'[1]Списък към доклад'!G177</f>
        <v>Реконструкция на водопроводната мрежа в село Горни Дъбник – първи етап</v>
      </c>
      <c r="H75" s="34">
        <v>1707619</v>
      </c>
      <c r="I75" s="29" t="str">
        <f>'[1]Списък към доклад'!I177</f>
        <v>ВиК</v>
      </c>
      <c r="J75" s="54" t="s">
        <v>35</v>
      </c>
      <c r="K75" s="10" t="s">
        <v>303</v>
      </c>
      <c r="L75" s="55" t="s">
        <v>112</v>
      </c>
      <c r="M75" s="55" t="s">
        <v>196</v>
      </c>
      <c r="N75" s="30">
        <f>655987.81+608759.73+1425+1350+2216.67+2100</f>
        <v>1271839.21</v>
      </c>
      <c r="O75" s="30">
        <v>919206.49</v>
      </c>
      <c r="P75" s="30">
        <f t="shared" si="3"/>
        <v>788412.51</v>
      </c>
      <c r="Q75" s="10" t="s">
        <v>289</v>
      </c>
      <c r="R75" s="10" t="s">
        <v>274</v>
      </c>
      <c r="S75" s="44">
        <f t="shared" si="4"/>
        <v>0.53829717870321192</v>
      </c>
      <c r="T75" s="10" t="s">
        <v>519</v>
      </c>
      <c r="U75" s="10" t="s">
        <v>351</v>
      </c>
      <c r="V75" s="10" t="s">
        <v>352</v>
      </c>
      <c r="W75" s="10" t="s">
        <v>351</v>
      </c>
      <c r="X75" s="10" t="s">
        <v>357</v>
      </c>
      <c r="Y75" s="19">
        <v>0</v>
      </c>
      <c r="Z75" s="9" t="s">
        <v>439</v>
      </c>
    </row>
    <row r="76" spans="1:26" ht="177" customHeight="1" x14ac:dyDescent="0.25">
      <c r="B76" s="29">
        <f t="shared" si="5"/>
        <v>68</v>
      </c>
      <c r="C76" s="29">
        <f>'[1]Списък към доклад'!C193</f>
        <v>46</v>
      </c>
      <c r="D76" s="29">
        <f>'[1]Списък към доклад'!D193</f>
        <v>6511</v>
      </c>
      <c r="E76" s="46" t="str">
        <f>'[1]Списък към доклад'!E193</f>
        <v>Кнежа</v>
      </c>
      <c r="F76" s="47" t="str">
        <f>'[1]Списък към доклад'!F193</f>
        <v>Плевен</v>
      </c>
      <c r="G76" s="43" t="str">
        <f>'[1]Списък към доклад'!G193</f>
        <v>„РЕКОНСТУКЦИЯ НА ВОДОПРОВОДНА МРЕЖА НА СЕЛО БРЕНИЦА, ОБЩИНА КНЕЖА“- Етап 2: Първи подетап: Гл. клон II DN110 - 1379 м.; клон 16 DN90-208 м.; клон 18 DN90-217 м.; клон 23 DN90-457 м.; клон 25 DN90-488 м.; клон 26 DN90-234 м.; клон 27 DN90-204 м.; клон 28 DN90-121 м.; клон 29 DN90-680 м.; клон 30 DN90-274 м.; клон 31 DN90-258 м.; клон 32 DN90-274 м.; клон 33 DN90-278 м.; клон 34 DN90-178 м.; клон 38 DN90-140 м.; клон 39 DN90-220 м.; клон 47 DN90-22 м.; клон 55 DN90-215 м.</v>
      </c>
      <c r="H76" s="34">
        <v>998873</v>
      </c>
      <c r="I76" s="29" t="str">
        <f>'[1]Списък към доклад'!I193</f>
        <v>ВиК</v>
      </c>
      <c r="J76" s="54" t="s">
        <v>50</v>
      </c>
      <c r="K76" s="10" t="s">
        <v>303</v>
      </c>
      <c r="L76" s="55" t="s">
        <v>112</v>
      </c>
      <c r="M76" s="55" t="s">
        <v>145</v>
      </c>
      <c r="N76" s="30">
        <f>996178.13+1001567.74+29900+8700</f>
        <v>2036345.87</v>
      </c>
      <c r="O76" s="30">
        <v>748218.5</v>
      </c>
      <c r="P76" s="30">
        <f t="shared" si="3"/>
        <v>250654.5</v>
      </c>
      <c r="Q76" s="29" t="s">
        <v>218</v>
      </c>
      <c r="R76" s="10" t="s">
        <v>274</v>
      </c>
      <c r="S76" s="44">
        <f t="shared" si="4"/>
        <v>0.74906269365575007</v>
      </c>
      <c r="T76" s="10" t="s">
        <v>520</v>
      </c>
      <c r="U76" s="10" t="s">
        <v>351</v>
      </c>
      <c r="V76" s="10" t="s">
        <v>352</v>
      </c>
      <c r="W76" s="10" t="s">
        <v>351</v>
      </c>
      <c r="X76" s="10" t="s">
        <v>357</v>
      </c>
      <c r="Y76" s="19">
        <f>N76-H76</f>
        <v>1037472.8700000001</v>
      </c>
      <c r="Z76" s="9" t="s">
        <v>340</v>
      </c>
    </row>
    <row r="77" spans="1:26" ht="56.25" customHeight="1" x14ac:dyDescent="0.25">
      <c r="B77" s="29">
        <f t="shared" si="5"/>
        <v>69</v>
      </c>
      <c r="C77" s="29">
        <f>'[1]Списък към доклад'!C198</f>
        <v>51</v>
      </c>
      <c r="D77" s="29">
        <f>'[1]Списък към доклад'!D198</f>
        <v>6506</v>
      </c>
      <c r="E77" s="46" t="str">
        <f>'[1]Списък към доклад'!E198</f>
        <v>Левски</v>
      </c>
      <c r="F77" s="47" t="str">
        <f>'[1]Списък към доклад'!F198</f>
        <v>Плевен</v>
      </c>
      <c r="G77" s="43" t="str">
        <f>'[1]Списък към доклад'!G198</f>
        <v>Реконструкция водопроводна мрежа Тласкател от П.СТ. "Асеновци 2" до Ж.П.линия гр. Левски</v>
      </c>
      <c r="H77" s="34">
        <v>709884</v>
      </c>
      <c r="I77" s="29" t="str">
        <f>'[1]Списък към доклад'!I198</f>
        <v>ВиК</v>
      </c>
      <c r="J77" s="54" t="s">
        <v>55</v>
      </c>
      <c r="K77" s="10" t="s">
        <v>303</v>
      </c>
      <c r="L77" s="55" t="s">
        <v>112</v>
      </c>
      <c r="M77" s="55" t="s">
        <v>183</v>
      </c>
      <c r="N77" s="30">
        <f>2000+4200+800+1419767.6+4064+251+663</f>
        <v>1431745.6</v>
      </c>
      <c r="O77" s="30">
        <v>709140.02</v>
      </c>
      <c r="P77" s="30">
        <f t="shared" si="3"/>
        <v>743.97999999998137</v>
      </c>
      <c r="Q77" s="45" t="s">
        <v>278</v>
      </c>
      <c r="R77" s="10" t="s">
        <v>274</v>
      </c>
      <c r="S77" s="44">
        <f t="shared" si="4"/>
        <v>0.99895196961757138</v>
      </c>
      <c r="T77" s="10" t="s">
        <v>521</v>
      </c>
      <c r="U77" s="10" t="s">
        <v>351</v>
      </c>
      <c r="V77" s="10" t="s">
        <v>352</v>
      </c>
      <c r="W77" s="10" t="s">
        <v>351</v>
      </c>
      <c r="X77" s="10" t="s">
        <v>353</v>
      </c>
      <c r="Y77" s="19">
        <f>N77-H77</f>
        <v>721861.60000000009</v>
      </c>
      <c r="Z77" s="6" t="s">
        <v>421</v>
      </c>
    </row>
    <row r="78" spans="1:26" ht="72.75" customHeight="1" x14ac:dyDescent="0.25">
      <c r="B78" s="29">
        <f t="shared" si="5"/>
        <v>70</v>
      </c>
      <c r="C78" s="29">
        <f>'[1]Списък към доклад'!C149</f>
        <v>2</v>
      </c>
      <c r="D78" s="29">
        <f>'[1]Списък към доклад'!D149</f>
        <v>6101</v>
      </c>
      <c r="E78" s="46" t="str">
        <f>'[1]Списък към доклад'!E149</f>
        <v>Априлци</v>
      </c>
      <c r="F78" s="47" t="str">
        <f>'[1]Списък към доклад'!F149</f>
        <v>Ловеч</v>
      </c>
      <c r="G78" s="43" t="str">
        <f>'[1]Списък към доклад'!G149</f>
        <v>Реконструкция на част от водопроводна мрежа на гр. Априлци, етап 4 "Реконструкция на водопроводна мрежа по ул. "Васил Левски", кв. Ново село, ул. "Зора", кв. Зла река</v>
      </c>
      <c r="H78" s="34">
        <v>733430</v>
      </c>
      <c r="I78" s="29" t="str">
        <f>'[1]Списък към доклад'!I149</f>
        <v>ВиК</v>
      </c>
      <c r="J78" s="54" t="s">
        <v>7</v>
      </c>
      <c r="K78" s="29" t="s">
        <v>311</v>
      </c>
      <c r="L78" s="55" t="s">
        <v>112</v>
      </c>
      <c r="M78" s="55" t="s">
        <v>146</v>
      </c>
      <c r="N78" s="30">
        <v>1434580.67</v>
      </c>
      <c r="O78" s="30">
        <f>358306.49+8069.52</f>
        <v>366376.01</v>
      </c>
      <c r="P78" s="30">
        <f t="shared" si="3"/>
        <v>367053.99</v>
      </c>
      <c r="Q78" s="29"/>
      <c r="R78" s="10" t="s">
        <v>274</v>
      </c>
      <c r="S78" s="44">
        <f t="shared" si="4"/>
        <v>0.49953780183521262</v>
      </c>
      <c r="T78" s="10" t="s">
        <v>387</v>
      </c>
      <c r="U78" s="10" t="s">
        <v>351</v>
      </c>
      <c r="V78" s="10" t="s">
        <v>352</v>
      </c>
      <c r="W78" s="10" t="s">
        <v>351</v>
      </c>
      <c r="X78" s="10" t="s">
        <v>357</v>
      </c>
      <c r="Y78" s="19">
        <f>N78-H78</f>
        <v>701150.66999999993</v>
      </c>
      <c r="Z78" s="9" t="s">
        <v>386</v>
      </c>
    </row>
    <row r="79" spans="1:26" ht="57" customHeight="1" x14ac:dyDescent="0.25">
      <c r="B79" s="29">
        <f t="shared" si="5"/>
        <v>71</v>
      </c>
      <c r="C79" s="29">
        <f>'[1]Списък към доклад'!C200</f>
        <v>53</v>
      </c>
      <c r="D79" s="29">
        <f>'[1]Списък към доклад'!D200</f>
        <v>6102</v>
      </c>
      <c r="E79" s="46" t="str">
        <f>'[1]Списък към доклад'!E200</f>
        <v>Летница</v>
      </c>
      <c r="F79" s="47" t="str">
        <f>'[1]Списък към доклад'!F200</f>
        <v>Ловеч</v>
      </c>
      <c r="G79" s="43" t="str">
        <f>'[1]Списък към доклад'!G200</f>
        <v>Реконструкция на вътрешна водопроводна мрежа - гр.Летница /Етапно строителство/ - 13 етапа</v>
      </c>
      <c r="H79" s="34">
        <v>606568</v>
      </c>
      <c r="I79" s="29" t="str">
        <f>'[1]Списък към доклад'!I200</f>
        <v>ВиК</v>
      </c>
      <c r="J79" s="54" t="s">
        <v>57</v>
      </c>
      <c r="K79" s="29" t="s">
        <v>311</v>
      </c>
      <c r="L79" s="55" t="s">
        <v>112</v>
      </c>
      <c r="M79" s="55" t="s">
        <v>147</v>
      </c>
      <c r="N79" s="30">
        <f>1191267.11+1000+23825.34</f>
        <v>1216092.4500000002</v>
      </c>
      <c r="O79" s="30">
        <v>0</v>
      </c>
      <c r="P79" s="30">
        <f t="shared" si="3"/>
        <v>606568</v>
      </c>
      <c r="Q79" s="29" t="s">
        <v>299</v>
      </c>
      <c r="R79" s="10" t="s">
        <v>274</v>
      </c>
      <c r="S79" s="44">
        <f t="shared" si="4"/>
        <v>0</v>
      </c>
      <c r="T79" s="10"/>
      <c r="U79" s="10" t="s">
        <v>351</v>
      </c>
      <c r="V79" s="10" t="s">
        <v>352</v>
      </c>
      <c r="W79" s="10" t="s">
        <v>351</v>
      </c>
      <c r="X79" s="10" t="s">
        <v>357</v>
      </c>
      <c r="Y79" s="14">
        <v>606568</v>
      </c>
      <c r="Z79" s="9" t="s">
        <v>427</v>
      </c>
    </row>
    <row r="80" spans="1:26" ht="73.5" customHeight="1" x14ac:dyDescent="0.25">
      <c r="A80" s="31"/>
      <c r="B80" s="29">
        <f t="shared" si="5"/>
        <v>72</v>
      </c>
      <c r="C80" s="29">
        <f>'[1]Списък към доклад'!C201</f>
        <v>54</v>
      </c>
      <c r="D80" s="29">
        <f>'[1]Списък към доклад'!D201</f>
        <v>6103</v>
      </c>
      <c r="E80" s="46" t="str">
        <f>'[1]Списък към доклад'!E201</f>
        <v>Ловеч</v>
      </c>
      <c r="F80" s="47" t="str">
        <f>'[1]Списък към доклад'!F201</f>
        <v>Ловеч</v>
      </c>
      <c r="G80" s="43" t="str">
        <f>'[1]Списък към доклад'!G201</f>
        <v xml:space="preserve">„Реконструкция на ВиК мрежа в Община Ловеч“, обособена позиция № 1 „Реконструкция на ВиК мрежа на ж.к. „Младост“, гр. Ловеч – водопровод с Разрешение за строеж № 54/15.06.2017 г. </v>
      </c>
      <c r="H80" s="34">
        <v>1213789</v>
      </c>
      <c r="I80" s="29" t="str">
        <f>'[1]Списък към доклад'!I201</f>
        <v>ВиК</v>
      </c>
      <c r="J80" s="54" t="s">
        <v>58</v>
      </c>
      <c r="K80" s="29" t="s">
        <v>311</v>
      </c>
      <c r="L80" s="55" t="s">
        <v>112</v>
      </c>
      <c r="M80" s="55" t="s">
        <v>148</v>
      </c>
      <c r="N80" s="30">
        <v>3448675.13</v>
      </c>
      <c r="O80" s="30">
        <v>605843.93000000005</v>
      </c>
      <c r="P80" s="30">
        <f t="shared" si="3"/>
        <v>607945.06999999995</v>
      </c>
      <c r="Q80" s="29"/>
      <c r="R80" s="10" t="s">
        <v>274</v>
      </c>
      <c r="S80" s="44">
        <f t="shared" si="4"/>
        <v>0.49913447065346617</v>
      </c>
      <c r="T80" s="10"/>
      <c r="U80" s="10" t="s">
        <v>351</v>
      </c>
      <c r="V80" s="10" t="s">
        <v>352</v>
      </c>
      <c r="W80" s="10" t="s">
        <v>351</v>
      </c>
      <c r="X80" s="10" t="s">
        <v>357</v>
      </c>
      <c r="Y80" s="19">
        <v>1213789</v>
      </c>
      <c r="Z80" s="9" t="s">
        <v>425</v>
      </c>
    </row>
    <row r="81" spans="2:26" ht="47.25" customHeight="1" x14ac:dyDescent="0.25">
      <c r="B81" s="29">
        <f t="shared" si="5"/>
        <v>73</v>
      </c>
      <c r="C81" s="29">
        <f>'[1]Списък към доклад'!C239</f>
        <v>92</v>
      </c>
      <c r="D81" s="29">
        <f>'[1]Списък към доклад'!D239</f>
        <v>6105</v>
      </c>
      <c r="E81" s="46" t="str">
        <f>'[1]Списък към доклад'!E239</f>
        <v>Тетевен</v>
      </c>
      <c r="F81" s="47" t="str">
        <f>'[1]Списък към доклад'!F239</f>
        <v>Ловеч</v>
      </c>
      <c r="G81" s="43" t="str">
        <f>'[1]Списък към доклад'!G239</f>
        <v xml:space="preserve">„Реконструкция на водопроводна мрежа по индикативни улици, гр. Тетевен“. </v>
      </c>
      <c r="H81" s="34">
        <v>704336</v>
      </c>
      <c r="I81" s="29" t="str">
        <f>'[1]Списък към доклад'!I239</f>
        <v>ВиК</v>
      </c>
      <c r="J81" s="54" t="s">
        <v>96</v>
      </c>
      <c r="K81" s="29" t="s">
        <v>311</v>
      </c>
      <c r="L81" s="55" t="s">
        <v>112</v>
      </c>
      <c r="M81" s="55" t="s">
        <v>184</v>
      </c>
      <c r="N81" s="30">
        <f>703939.18+29800</f>
        <v>733739.18</v>
      </c>
      <c r="O81" s="30">
        <v>0</v>
      </c>
      <c r="P81" s="30">
        <f t="shared" si="3"/>
        <v>704336</v>
      </c>
      <c r="Q81" s="29"/>
      <c r="R81" s="10" t="s">
        <v>274</v>
      </c>
      <c r="S81" s="44">
        <f t="shared" si="4"/>
        <v>0</v>
      </c>
      <c r="T81" s="10" t="s">
        <v>529</v>
      </c>
      <c r="U81" s="10" t="s">
        <v>351</v>
      </c>
      <c r="V81" s="10" t="s">
        <v>543</v>
      </c>
      <c r="W81" s="10" t="s">
        <v>351</v>
      </c>
      <c r="X81" s="10" t="s">
        <v>357</v>
      </c>
      <c r="Y81" s="19">
        <f>N81-H81</f>
        <v>29403.180000000051</v>
      </c>
      <c r="Z81" s="39" t="s">
        <v>530</v>
      </c>
    </row>
    <row r="82" spans="2:26" ht="52.5" customHeight="1" x14ac:dyDescent="0.25">
      <c r="B82" s="29">
        <f t="shared" si="5"/>
        <v>74</v>
      </c>
      <c r="C82" s="29">
        <f>'[1]Списък към доклад'!C241</f>
        <v>94</v>
      </c>
      <c r="D82" s="29">
        <f>'[1]Списък към доклад'!D241</f>
        <v>6107</v>
      </c>
      <c r="E82" s="46" t="str">
        <f>'[1]Списък към доклад'!E241</f>
        <v>Угърчин</v>
      </c>
      <c r="F82" s="47" t="str">
        <f>'[1]Списък към доклад'!F241</f>
        <v>Ловеч</v>
      </c>
      <c r="G82" s="43" t="str">
        <f>'[1]Списък към доклад'!G241</f>
        <v>ПСОВ с капицитет 3 000 еж на територията на община Угърчин</v>
      </c>
      <c r="H82" s="34">
        <v>2820672</v>
      </c>
      <c r="I82" s="29" t="str">
        <f>'[1]Списък към доклад'!I241</f>
        <v>ВиК</v>
      </c>
      <c r="J82" s="54" t="s">
        <v>98</v>
      </c>
      <c r="K82" s="29" t="s">
        <v>311</v>
      </c>
      <c r="L82" s="55" t="s">
        <v>112</v>
      </c>
      <c r="M82" s="55" t="s">
        <v>149</v>
      </c>
      <c r="N82" s="30">
        <f>5641343.18+8400</f>
        <v>5649743.1799999997</v>
      </c>
      <c r="O82" s="30">
        <f>564134.32+2242075.77+0</f>
        <v>2806210.09</v>
      </c>
      <c r="P82" s="30">
        <f t="shared" si="3"/>
        <v>14461.910000000149</v>
      </c>
      <c r="Q82" s="29" t="s">
        <v>326</v>
      </c>
      <c r="R82" s="10" t="s">
        <v>274</v>
      </c>
      <c r="S82" s="44">
        <f t="shared" si="4"/>
        <v>0.99487288490118664</v>
      </c>
      <c r="T82" s="10"/>
      <c r="U82" s="10" t="s">
        <v>351</v>
      </c>
      <c r="V82" s="10" t="s">
        <v>426</v>
      </c>
      <c r="W82" s="10" t="s">
        <v>351</v>
      </c>
      <c r="X82" s="10" t="s">
        <v>357</v>
      </c>
      <c r="Y82" s="14">
        <v>2820672</v>
      </c>
      <c r="Z82" s="9" t="s">
        <v>343</v>
      </c>
    </row>
    <row r="83" spans="2:26" ht="63.75" customHeight="1" x14ac:dyDescent="0.25">
      <c r="B83" s="29">
        <f t="shared" si="5"/>
        <v>75</v>
      </c>
      <c r="C83" s="29">
        <f>'[1]Списък към доклад'!C250</f>
        <v>103</v>
      </c>
      <c r="D83" s="29">
        <f>'[1]Списък към доклад'!D250</f>
        <v>6108</v>
      </c>
      <c r="E83" s="46" t="str">
        <f>'[1]Списък към доклад'!E250</f>
        <v>Ябланица</v>
      </c>
      <c r="F83" s="47" t="str">
        <f>'[1]Списък към доклад'!F250</f>
        <v>Ловеч</v>
      </c>
      <c r="G83" s="43" t="str">
        <f>'[1]Списък към доклад'!G250</f>
        <v>"Реконструкция на вътрешна водопроводна мрежа по ул."Св.Св. Кирил и Методий" - ІІ етап - от ОТ 25 до ОТ 60, с. Батулци,  община Ябланица"</v>
      </c>
      <c r="H83" s="34">
        <v>349938</v>
      </c>
      <c r="I83" s="29" t="str">
        <f>'[1]Списък към доклад'!I250</f>
        <v>ВиК</v>
      </c>
      <c r="J83" s="54" t="s">
        <v>107</v>
      </c>
      <c r="K83" s="29" t="s">
        <v>311</v>
      </c>
      <c r="L83" s="55" t="s">
        <v>112</v>
      </c>
      <c r="M83" s="55" t="s">
        <v>150</v>
      </c>
      <c r="N83" s="30">
        <f>699875.05+17000+1250+3700</f>
        <v>721825.05</v>
      </c>
      <c r="O83" s="30">
        <v>349938</v>
      </c>
      <c r="P83" s="30">
        <f t="shared" si="3"/>
        <v>0</v>
      </c>
      <c r="Q83" s="29" t="s">
        <v>236</v>
      </c>
      <c r="R83" s="10" t="s">
        <v>274</v>
      </c>
      <c r="S83" s="44">
        <f t="shared" si="4"/>
        <v>1</v>
      </c>
      <c r="T83" s="10" t="s">
        <v>388</v>
      </c>
      <c r="U83" s="10" t="s">
        <v>351</v>
      </c>
      <c r="V83" s="10" t="s">
        <v>426</v>
      </c>
      <c r="W83" s="10" t="s">
        <v>351</v>
      </c>
      <c r="X83" s="10" t="s">
        <v>357</v>
      </c>
      <c r="Y83" s="19">
        <v>349938</v>
      </c>
      <c r="Z83" s="9" t="s">
        <v>389</v>
      </c>
    </row>
    <row r="84" spans="2:26" ht="193.5" customHeight="1" x14ac:dyDescent="0.25">
      <c r="B84" s="29">
        <f t="shared" si="5"/>
        <v>76</v>
      </c>
      <c r="C84" s="29">
        <f>'[1]Списък към доклад'!C163</f>
        <v>16</v>
      </c>
      <c r="D84" s="29">
        <f>'[1]Списък към доклад'!D163</f>
        <v>5401</v>
      </c>
      <c r="E84" s="46" t="str">
        <f>'[1]Списък към доклад'!E163</f>
        <v>Велико Търново</v>
      </c>
      <c r="F84" s="47" t="str">
        <f>'[1]Списък към доклад'!F163</f>
        <v>Велико Търново</v>
      </c>
      <c r="G84" s="43" t="str">
        <f>'[1]Списък към доклад'!G163</f>
        <v xml:space="preserve">Строителство и реконструкция на ВиК инфраструктура в гр. Велико Търново по подобекти:
Подобект 1:  „Строителство и реконструкция на канализационен колектор, напорен тръбопровод  по ул. Опълченска, гр. Велико Търново“.
Подобект 2: "Строителство и реконструкция на водопроводни и канализационни колектори по ул. "Теодосий Търновски", ул. "Димитър Найденов" и ул. "Сливница"- гр. Велико Търново"
Подобект 3:   „Строителство и реконструкция на уличен водопровод по ул. „Ксилифорска“, гр. Велико Търново“.
</v>
      </c>
      <c r="H84" s="34">
        <v>2460266</v>
      </c>
      <c r="I84" s="29" t="str">
        <f>'[1]Списък към доклад'!I163</f>
        <v>ВиК</v>
      </c>
      <c r="J84" s="54" t="s">
        <v>21</v>
      </c>
      <c r="K84" s="10" t="s">
        <v>324</v>
      </c>
      <c r="L84" s="55" t="s">
        <v>112</v>
      </c>
      <c r="M84" s="55" t="s">
        <v>151</v>
      </c>
      <c r="N84" s="30">
        <f>1965126.9+2276883.75+573372.26</f>
        <v>4815382.91</v>
      </c>
      <c r="O84" s="30">
        <v>861093.1</v>
      </c>
      <c r="P84" s="30">
        <f t="shared" si="3"/>
        <v>1599172.9</v>
      </c>
      <c r="Q84" s="29" t="s">
        <v>249</v>
      </c>
      <c r="R84" s="27" t="s">
        <v>272</v>
      </c>
      <c r="S84" s="44">
        <f t="shared" si="4"/>
        <v>0.35</v>
      </c>
      <c r="T84" s="27"/>
      <c r="U84" s="10" t="s">
        <v>351</v>
      </c>
      <c r="V84" s="10" t="s">
        <v>352</v>
      </c>
      <c r="W84" s="10" t="s">
        <v>351</v>
      </c>
      <c r="X84" s="10" t="s">
        <v>357</v>
      </c>
      <c r="Y84" s="18">
        <f>N84-H84</f>
        <v>2355116.91</v>
      </c>
      <c r="Z84" s="9" t="s">
        <v>440</v>
      </c>
    </row>
    <row r="85" spans="2:26" ht="66.75" customHeight="1" x14ac:dyDescent="0.25">
      <c r="B85" s="29">
        <f t="shared" si="5"/>
        <v>77</v>
      </c>
      <c r="C85" s="29">
        <f>'[1]Списък към доклад'!C181</f>
        <v>34</v>
      </c>
      <c r="D85" s="29">
        <f>'[1]Списък към доклад'!D181</f>
        <v>5403</v>
      </c>
      <c r="E85" s="46" t="str">
        <f>'[1]Списък към доклад'!E181</f>
        <v>Елена</v>
      </c>
      <c r="F85" s="47" t="str">
        <f>'[1]Списък към доклад'!F181</f>
        <v>Велико Търново</v>
      </c>
      <c r="G85" s="43" t="str">
        <f>'[1]Списък към доклад'!G181</f>
        <v>Реконструкция на вътрешна водопроводна мрежа в гр. Елена, ул. Иван Момчилов и прилежащи към нея клонове и улици</v>
      </c>
      <c r="H85" s="34">
        <v>702115</v>
      </c>
      <c r="I85" s="29" t="str">
        <f>'[1]Списък към доклад'!I181</f>
        <v>ВиК</v>
      </c>
      <c r="J85" s="54" t="s">
        <v>39</v>
      </c>
      <c r="K85" s="10" t="s">
        <v>324</v>
      </c>
      <c r="L85" s="55" t="s">
        <v>112</v>
      </c>
      <c r="M85" s="55" t="s">
        <v>152</v>
      </c>
      <c r="N85" s="30">
        <v>0</v>
      </c>
      <c r="O85" s="30">
        <v>0</v>
      </c>
      <c r="P85" s="30">
        <f t="shared" si="3"/>
        <v>702115</v>
      </c>
      <c r="Q85" s="29"/>
      <c r="R85" s="27" t="s">
        <v>272</v>
      </c>
      <c r="S85" s="44">
        <f t="shared" si="4"/>
        <v>0</v>
      </c>
      <c r="T85" s="27"/>
      <c r="U85" s="10" t="s">
        <v>357</v>
      </c>
      <c r="V85" s="10" t="s">
        <v>487</v>
      </c>
      <c r="W85" s="10" t="s">
        <v>357</v>
      </c>
      <c r="X85" s="10" t="s">
        <v>357</v>
      </c>
      <c r="Y85" s="19">
        <v>0</v>
      </c>
      <c r="Z85" s="9" t="s">
        <v>486</v>
      </c>
    </row>
    <row r="86" spans="2:26" ht="62.25" customHeight="1" x14ac:dyDescent="0.25">
      <c r="B86" s="29">
        <f t="shared" si="5"/>
        <v>78</v>
      </c>
      <c r="C86" s="29">
        <f>'[1]Списък към доклад'!C204</f>
        <v>57</v>
      </c>
      <c r="D86" s="29">
        <f>'[1]Списък към доклад'!D204</f>
        <v>5405</v>
      </c>
      <c r="E86" s="46" t="str">
        <f>'[1]Списък към доклад'!E204</f>
        <v>Лясковец</v>
      </c>
      <c r="F86" s="47" t="str">
        <f>'[1]Списък към доклад'!F204</f>
        <v>Велико Търново</v>
      </c>
      <c r="G86" s="43" t="str">
        <f>'[1]Списък към доклад'!G204</f>
        <v>„Реконструкция и подмяна на участъци от водопроводната мрежа на село Добри дял, Община Лясковец“</v>
      </c>
      <c r="H86" s="34">
        <v>1076103</v>
      </c>
      <c r="I86" s="29" t="str">
        <f>'[1]Списък към доклад'!I204</f>
        <v>ВиК</v>
      </c>
      <c r="J86" s="58" t="s">
        <v>61</v>
      </c>
      <c r="K86" s="10" t="s">
        <v>324</v>
      </c>
      <c r="L86" s="55" t="s">
        <v>112</v>
      </c>
      <c r="M86" s="55" t="s">
        <v>197</v>
      </c>
      <c r="N86" s="30">
        <v>0</v>
      </c>
      <c r="O86" s="30">
        <v>0</v>
      </c>
      <c r="P86" s="30">
        <f t="shared" si="3"/>
        <v>1076103</v>
      </c>
      <c r="Q86" s="29" t="s">
        <v>241</v>
      </c>
      <c r="R86" s="27" t="s">
        <v>272</v>
      </c>
      <c r="S86" s="44">
        <f t="shared" si="4"/>
        <v>0</v>
      </c>
      <c r="T86" s="27"/>
      <c r="U86" s="10" t="s">
        <v>463</v>
      </c>
      <c r="V86" s="10" t="s">
        <v>357</v>
      </c>
      <c r="W86" s="10" t="s">
        <v>357</v>
      </c>
      <c r="X86" s="10" t="s">
        <v>357</v>
      </c>
      <c r="Y86" s="19">
        <v>0</v>
      </c>
      <c r="Z86" s="9" t="s">
        <v>338</v>
      </c>
    </row>
    <row r="87" spans="2:26" ht="42.75" customHeight="1" x14ac:dyDescent="0.25">
      <c r="B87" s="29">
        <f t="shared" si="5"/>
        <v>79</v>
      </c>
      <c r="C87" s="29">
        <f>'[1]Списък към доклад'!C217</f>
        <v>70</v>
      </c>
      <c r="D87" s="29">
        <f>'[1]Списък към доклад'!D217</f>
        <v>5406</v>
      </c>
      <c r="E87" s="46" t="str">
        <f>'[1]Списък към доклад'!E217</f>
        <v>Павликени</v>
      </c>
      <c r="F87" s="47" t="str">
        <f>'[1]Списък към доклад'!F217</f>
        <v>Велико Търново</v>
      </c>
      <c r="G87" s="43" t="str">
        <f>'[1]Списък към доклад'!G217</f>
        <v>Допълнително водоснабдяване на с. Върбовка</v>
      </c>
      <c r="H87" s="34">
        <v>902929</v>
      </c>
      <c r="I87" s="29" t="str">
        <f>'[1]Списък към доклад'!I217</f>
        <v>ВиК</v>
      </c>
      <c r="J87" s="54" t="s">
        <v>74</v>
      </c>
      <c r="K87" s="10" t="s">
        <v>324</v>
      </c>
      <c r="L87" s="55" t="s">
        <v>112</v>
      </c>
      <c r="M87" s="55" t="s">
        <v>211</v>
      </c>
      <c r="N87" s="30">
        <v>1806569.15</v>
      </c>
      <c r="O87" s="30">
        <f>397171.63</f>
        <v>397171.63</v>
      </c>
      <c r="P87" s="30">
        <f t="shared" si="3"/>
        <v>505757.37</v>
      </c>
      <c r="Q87" s="29" t="s">
        <v>247</v>
      </c>
      <c r="R87" s="27" t="s">
        <v>272</v>
      </c>
      <c r="S87" s="44">
        <f t="shared" si="4"/>
        <v>0.43987027772947818</v>
      </c>
      <c r="T87" s="27"/>
      <c r="U87" s="10" t="s">
        <v>351</v>
      </c>
      <c r="V87" s="10" t="s">
        <v>352</v>
      </c>
      <c r="W87" s="10" t="s">
        <v>351</v>
      </c>
      <c r="X87" s="27" t="s">
        <v>357</v>
      </c>
      <c r="Y87" s="14">
        <v>902929</v>
      </c>
      <c r="Z87" s="9" t="s">
        <v>490</v>
      </c>
    </row>
    <row r="88" spans="2:26" ht="60" customHeight="1" x14ac:dyDescent="0.25">
      <c r="B88" s="29">
        <f t="shared" si="5"/>
        <v>80</v>
      </c>
      <c r="C88" s="29">
        <f>'[1]Списък към доклад'!C229</f>
        <v>82</v>
      </c>
      <c r="D88" s="29">
        <f>'[1]Списък към доклад'!D229</f>
        <v>5408</v>
      </c>
      <c r="E88" s="46" t="str">
        <f>'[1]Списък към доклад'!E229</f>
        <v>Свищов</v>
      </c>
      <c r="F88" s="47" t="str">
        <f>'[1]Списък към доклад'!F229</f>
        <v>Велико Търново</v>
      </c>
      <c r="G88" s="43" t="str">
        <f>'[1]Списък към доклад'!G229</f>
        <v>Аварийно възстановителни работи за реконструкция на водопровод за с.Българско сливово, община Свищов</v>
      </c>
      <c r="H88" s="34">
        <v>680000</v>
      </c>
      <c r="I88" s="29" t="str">
        <f>'[1]Списък към доклад'!I229</f>
        <v>ВиК</v>
      </c>
      <c r="J88" s="54" t="s">
        <v>86</v>
      </c>
      <c r="K88" s="10" t="s">
        <v>324</v>
      </c>
      <c r="L88" s="55" t="s">
        <v>112</v>
      </c>
      <c r="M88" s="55" t="s">
        <v>155</v>
      </c>
      <c r="N88" s="30">
        <v>709250</v>
      </c>
      <c r="O88" s="34">
        <v>664050.6</v>
      </c>
      <c r="P88" s="30">
        <f t="shared" si="3"/>
        <v>15949.400000000023</v>
      </c>
      <c r="Q88" s="29" t="s">
        <v>229</v>
      </c>
      <c r="R88" s="27" t="s">
        <v>272</v>
      </c>
      <c r="S88" s="44">
        <f t="shared" si="4"/>
        <v>0.976545</v>
      </c>
      <c r="T88" s="27"/>
      <c r="U88" s="10" t="s">
        <v>351</v>
      </c>
      <c r="V88" s="10" t="s">
        <v>352</v>
      </c>
      <c r="W88" s="10" t="s">
        <v>351</v>
      </c>
      <c r="X88" s="10" t="s">
        <v>351</v>
      </c>
      <c r="Y88" s="28">
        <f>N88-H88</f>
        <v>29250</v>
      </c>
      <c r="Z88" s="10" t="s">
        <v>489</v>
      </c>
    </row>
    <row r="89" spans="2:26" ht="49.5" customHeight="1" x14ac:dyDescent="0.25">
      <c r="B89" s="29">
        <f t="shared" si="5"/>
        <v>81</v>
      </c>
      <c r="C89" s="29">
        <f>'[1]Списък към доклад'!C237</f>
        <v>90</v>
      </c>
      <c r="D89" s="29">
        <f>'[1]Списък към доклад'!D237</f>
        <v>5410</v>
      </c>
      <c r="E89" s="46" t="str">
        <f>'[1]Списък към доклад'!E237</f>
        <v>Сухиндол</v>
      </c>
      <c r="F89" s="47" t="str">
        <f>'[1]Списък към доклад'!F237</f>
        <v>Велико Търново</v>
      </c>
      <c r="G89" s="43" t="str">
        <f>'[1]Списък към доклад'!G237</f>
        <v>Ремонт и подмяна на съществуващ водопровод в с. Бяла река, общ. Сухиндол</v>
      </c>
      <c r="H89" s="34">
        <v>1685002</v>
      </c>
      <c r="I89" s="29" t="str">
        <f>'[1]Списък към доклад'!I237</f>
        <v>ВиК</v>
      </c>
      <c r="J89" s="54" t="s">
        <v>94</v>
      </c>
      <c r="K89" s="10" t="s">
        <v>324</v>
      </c>
      <c r="L89" s="55" t="s">
        <v>112</v>
      </c>
      <c r="M89" s="55" t="s">
        <v>213</v>
      </c>
      <c r="N89" s="30">
        <v>3328230.56</v>
      </c>
      <c r="O89" s="30">
        <v>1030000</v>
      </c>
      <c r="P89" s="30">
        <f t="shared" si="3"/>
        <v>655002</v>
      </c>
      <c r="Q89" s="29"/>
      <c r="R89" s="27" t="s">
        <v>272</v>
      </c>
      <c r="S89" s="44">
        <f t="shared" si="4"/>
        <v>0.6112752388424465</v>
      </c>
      <c r="T89" s="27"/>
      <c r="U89" s="10" t="s">
        <v>351</v>
      </c>
      <c r="V89" s="10" t="s">
        <v>352</v>
      </c>
      <c r="W89" s="10" t="s">
        <v>351</v>
      </c>
      <c r="X89" s="27" t="s">
        <v>357</v>
      </c>
      <c r="Y89" s="28">
        <f>N89-H89</f>
        <v>1643228.56</v>
      </c>
      <c r="Z89" s="10" t="s">
        <v>488</v>
      </c>
    </row>
    <row r="90" spans="2:26" ht="48" customHeight="1" x14ac:dyDescent="0.25">
      <c r="B90" s="29">
        <f t="shared" si="5"/>
        <v>82</v>
      </c>
      <c r="C90" s="29">
        <f>'[1]Списък към доклад'!C154</f>
        <v>7</v>
      </c>
      <c r="D90" s="29">
        <f>'[1]Списък към доклад'!D154</f>
        <v>5103</v>
      </c>
      <c r="E90" s="46" t="str">
        <f>'[1]Списък към доклад'!E154</f>
        <v>Благоевград</v>
      </c>
      <c r="F90" s="47" t="str">
        <f>'[1]Списък към доклад'!F154</f>
        <v>Благоевград</v>
      </c>
      <c r="G90" s="43" t="str">
        <f>'[1]Списък към доклад'!G154</f>
        <v>Благоустрояване на улица „Промишлена“, Благоевград -  част ВиК</v>
      </c>
      <c r="H90" s="34">
        <v>625000</v>
      </c>
      <c r="I90" s="29" t="str">
        <f>'[1]Списък към доклад'!I154</f>
        <v>ВиК</v>
      </c>
      <c r="J90" s="54" t="s">
        <v>12</v>
      </c>
      <c r="K90" s="10" t="s">
        <v>312</v>
      </c>
      <c r="L90" s="55" t="s">
        <v>112</v>
      </c>
      <c r="M90" s="55" t="s">
        <v>156</v>
      </c>
      <c r="N90" s="30">
        <v>0</v>
      </c>
      <c r="O90" s="30">
        <v>0</v>
      </c>
      <c r="P90" s="30">
        <f t="shared" si="3"/>
        <v>625000</v>
      </c>
      <c r="Q90" s="29" t="s">
        <v>296</v>
      </c>
      <c r="R90" s="10" t="s">
        <v>274</v>
      </c>
      <c r="S90" s="44">
        <f t="shared" si="4"/>
        <v>0</v>
      </c>
      <c r="T90" s="10"/>
      <c r="U90" s="10" t="s">
        <v>544</v>
      </c>
      <c r="V90" s="10" t="s">
        <v>357</v>
      </c>
      <c r="W90" s="10" t="s">
        <v>357</v>
      </c>
      <c r="X90" s="10" t="s">
        <v>357</v>
      </c>
      <c r="Y90" s="19">
        <v>0</v>
      </c>
      <c r="Z90" s="6" t="s">
        <v>464</v>
      </c>
    </row>
    <row r="91" spans="2:26" ht="84.75" customHeight="1" x14ac:dyDescent="0.25">
      <c r="B91" s="29">
        <f t="shared" si="5"/>
        <v>83</v>
      </c>
      <c r="C91" s="29">
        <f>'[1]Списък към доклад'!C170</f>
        <v>23</v>
      </c>
      <c r="D91" s="29">
        <f>'[1]Списък към доклад'!D170</f>
        <v>5104</v>
      </c>
      <c r="E91" s="46" t="str">
        <f>'[1]Списък към доклад'!E170</f>
        <v>Гоце Делчев</v>
      </c>
      <c r="F91" s="47" t="str">
        <f>'[1]Списък към доклад'!F170</f>
        <v>Благоевград</v>
      </c>
      <c r="G91" s="43" t="str">
        <f>'[1]Списък към доклад'!G170</f>
        <v>"Смяна на водопроводната мрежа по улици в югозападната част, включени в интегрирания план за градско възстановяване и развитие на гр. Гоце Делчев"</v>
      </c>
      <c r="H91" s="34">
        <v>1493293</v>
      </c>
      <c r="I91" s="29" t="str">
        <f>'[1]Списък към доклад'!I170</f>
        <v>ВиК</v>
      </c>
      <c r="J91" s="54" t="s">
        <v>28</v>
      </c>
      <c r="K91" s="10" t="s">
        <v>312</v>
      </c>
      <c r="L91" s="55" t="s">
        <v>112</v>
      </c>
      <c r="M91" s="55" t="s">
        <v>157</v>
      </c>
      <c r="N91" s="30">
        <f>2412407.85+25000+18000</f>
        <v>2455407.85</v>
      </c>
      <c r="O91" s="30">
        <v>860985</v>
      </c>
      <c r="P91" s="30">
        <f t="shared" si="3"/>
        <v>632308</v>
      </c>
      <c r="Q91" s="29" t="s">
        <v>277</v>
      </c>
      <c r="R91" s="10" t="s">
        <v>274</v>
      </c>
      <c r="S91" s="44">
        <f t="shared" si="4"/>
        <v>0.57656802784182337</v>
      </c>
      <c r="T91" s="10"/>
      <c r="U91" s="10" t="s">
        <v>351</v>
      </c>
      <c r="V91" s="10" t="s">
        <v>352</v>
      </c>
      <c r="W91" s="10" t="s">
        <v>351</v>
      </c>
      <c r="X91" s="10" t="s">
        <v>357</v>
      </c>
      <c r="Y91" s="19">
        <f>N91-H91</f>
        <v>962114.85000000009</v>
      </c>
      <c r="Z91" s="6" t="s">
        <v>473</v>
      </c>
    </row>
    <row r="92" spans="2:26" ht="104.25" customHeight="1" x14ac:dyDescent="0.25">
      <c r="B92" s="29">
        <f t="shared" si="5"/>
        <v>84</v>
      </c>
      <c r="C92" s="29">
        <f>'[1]Списък към доклад'!C223</f>
        <v>76</v>
      </c>
      <c r="D92" s="29">
        <f>'[1]Списък към доклад'!D223</f>
        <v>5108</v>
      </c>
      <c r="E92" s="46" t="str">
        <f>'[1]Списък към доклад'!E223</f>
        <v>Разлог</v>
      </c>
      <c r="F92" s="47" t="str">
        <f>'[1]Списък към доклад'!F223</f>
        <v>Благоевград</v>
      </c>
      <c r="G92" s="43" t="str">
        <f>'[1]Списък към доклад'!G223</f>
        <v xml:space="preserve">Реконструкция и изграждане на канализационна и водопроводна мрежа на гр.Разлог - I-ви етап по проект за изпълнение и развитие на инфраструктурата за питейни и отпадъчни води на гр.Разлог, общ.Разлог,обл.Благоевград" - Етапно изграждане - II- ри етап
</v>
      </c>
      <c r="H92" s="34">
        <v>2022917</v>
      </c>
      <c r="I92" s="29" t="str">
        <f>'[1]Списък към доклад'!I223</f>
        <v>ВиК</v>
      </c>
      <c r="J92" s="54" t="s">
        <v>80</v>
      </c>
      <c r="K92" s="10" t="s">
        <v>312</v>
      </c>
      <c r="L92" s="55" t="s">
        <v>112</v>
      </c>
      <c r="M92" s="55" t="s">
        <v>158</v>
      </c>
      <c r="N92" s="30">
        <f>1500+3800+3303221.75</f>
        <v>3308521.75</v>
      </c>
      <c r="O92" s="30">
        <v>0</v>
      </c>
      <c r="P92" s="30">
        <f t="shared" si="3"/>
        <v>2022917</v>
      </c>
      <c r="Q92" s="29" t="s">
        <v>323</v>
      </c>
      <c r="R92" s="10" t="s">
        <v>274</v>
      </c>
      <c r="S92" s="44">
        <f t="shared" si="4"/>
        <v>0</v>
      </c>
      <c r="T92" s="10"/>
      <c r="U92" s="10" t="s">
        <v>351</v>
      </c>
      <c r="V92" s="10" t="s">
        <v>352</v>
      </c>
      <c r="W92" s="10" t="s">
        <v>351</v>
      </c>
      <c r="X92" s="10" t="s">
        <v>357</v>
      </c>
      <c r="Y92" s="19">
        <f>N92-H92</f>
        <v>1285604.75</v>
      </c>
      <c r="Z92" s="10" t="s">
        <v>474</v>
      </c>
    </row>
    <row r="93" spans="2:26" ht="60" x14ac:dyDescent="0.25">
      <c r="B93" s="29">
        <f t="shared" si="5"/>
        <v>85</v>
      </c>
      <c r="C93" s="29">
        <f>'[1]Списък към доклад'!C252</f>
        <v>105</v>
      </c>
      <c r="D93" s="29">
        <f>'[1]Списък към доклад'!D252</f>
        <v>5114</v>
      </c>
      <c r="E93" s="46" t="str">
        <f>'[1]Списък към доклад'!E252</f>
        <v>Якоруда</v>
      </c>
      <c r="F93" s="47" t="str">
        <f>'[1]Списък към доклад'!F252</f>
        <v>Благоевград</v>
      </c>
      <c r="G93" s="43" t="str">
        <f>'[1]Списък към доклад'!G252</f>
        <v>„Реконструкция на водохващането и довеждащия водопровод за село Черна Места, община Якоруда, област Благоевград“</v>
      </c>
      <c r="H93" s="34">
        <v>364889</v>
      </c>
      <c r="I93" s="29" t="str">
        <f>'[1]Списък към доклад'!I252</f>
        <v>ВиК</v>
      </c>
      <c r="J93" s="54" t="s">
        <v>109</v>
      </c>
      <c r="K93" s="10" t="s">
        <v>312</v>
      </c>
      <c r="L93" s="55" t="s">
        <v>112</v>
      </c>
      <c r="M93" s="55" t="s">
        <v>159</v>
      </c>
      <c r="N93" s="30">
        <v>608840.85</v>
      </c>
      <c r="O93" s="30">
        <v>364889</v>
      </c>
      <c r="P93" s="30">
        <f t="shared" si="3"/>
        <v>0</v>
      </c>
      <c r="Q93" s="29" t="s">
        <v>215</v>
      </c>
      <c r="R93" s="27" t="s">
        <v>275</v>
      </c>
      <c r="S93" s="44">
        <f t="shared" si="4"/>
        <v>1</v>
      </c>
      <c r="T93" s="27"/>
      <c r="U93" s="10" t="s">
        <v>351</v>
      </c>
      <c r="V93" s="10" t="s">
        <v>352</v>
      </c>
      <c r="W93" s="10" t="s">
        <v>351</v>
      </c>
      <c r="X93" s="10" t="s">
        <v>357</v>
      </c>
      <c r="Y93" s="28">
        <f>N93-H93</f>
        <v>243951.84999999998</v>
      </c>
      <c r="Z93" s="9" t="s">
        <v>472</v>
      </c>
    </row>
    <row r="94" spans="2:26" ht="57.75" customHeight="1" x14ac:dyDescent="0.25">
      <c r="B94" s="29">
        <f t="shared" si="5"/>
        <v>86</v>
      </c>
      <c r="C94" s="29">
        <f>'[1]Списък към доклад'!C161</f>
        <v>14</v>
      </c>
      <c r="D94" s="29">
        <f>'[1]Списък към доклад'!D161</f>
        <v>5304</v>
      </c>
      <c r="E94" s="46" t="str">
        <f>'[1]Списък към доклад'!E161</f>
        <v xml:space="preserve">Бяла </v>
      </c>
      <c r="F94" s="47" t="str">
        <f>'[1]Списък към доклад'!F161</f>
        <v>Варна</v>
      </c>
      <c r="G94" s="43" t="str">
        <f>'[1]Списък към доклад'!G161</f>
        <v>Реконструкция и доизграждане на вътрешна водопроводна мрежа на с. Горица</v>
      </c>
      <c r="H94" s="34">
        <v>1697509</v>
      </c>
      <c r="I94" s="29" t="str">
        <f>'[1]Списък към доклад'!I161</f>
        <v>ВиК</v>
      </c>
      <c r="J94" s="54" t="s">
        <v>19</v>
      </c>
      <c r="K94" s="10" t="s">
        <v>312</v>
      </c>
      <c r="L94" s="55" t="s">
        <v>112</v>
      </c>
      <c r="M94" s="55" t="s">
        <v>185</v>
      </c>
      <c r="N94" s="30">
        <f>3351302.02+11000+3500</f>
        <v>3365802.02</v>
      </c>
      <c r="O94" s="30">
        <f>837825.51+486315.61</f>
        <v>1324141.1200000001</v>
      </c>
      <c r="P94" s="30">
        <f t="shared" si="3"/>
        <v>373367.87999999989</v>
      </c>
      <c r="Q94" s="29" t="s">
        <v>216</v>
      </c>
      <c r="R94" s="10" t="s">
        <v>274</v>
      </c>
      <c r="S94" s="44">
        <f t="shared" si="4"/>
        <v>0.78004954318357078</v>
      </c>
      <c r="T94" s="10"/>
      <c r="U94" s="10" t="s">
        <v>351</v>
      </c>
      <c r="V94" s="10" t="s">
        <v>352</v>
      </c>
      <c r="W94" s="10" t="s">
        <v>351</v>
      </c>
      <c r="X94" s="10" t="s">
        <v>357</v>
      </c>
      <c r="Y94" s="19">
        <f>N94-H94</f>
        <v>1668293.02</v>
      </c>
      <c r="Z94" s="8" t="s">
        <v>430</v>
      </c>
    </row>
    <row r="95" spans="2:26" ht="105" x14ac:dyDescent="0.25">
      <c r="B95" s="29">
        <f t="shared" si="5"/>
        <v>87</v>
      </c>
      <c r="C95" s="29">
        <f>'[1]Списък към доклад'!C165</f>
        <v>18</v>
      </c>
      <c r="D95" s="29">
        <f>'[1]Списък към доклад'!D165</f>
        <v>5307</v>
      </c>
      <c r="E95" s="46" t="s">
        <v>287</v>
      </c>
      <c r="F95" s="47" t="str">
        <f>'[1]Списък към доклад'!F165</f>
        <v>Варна</v>
      </c>
      <c r="G95" s="43" t="str">
        <f>'[1]Списък към доклад'!G165</f>
        <v>Разширение на канализационната и реконструкция на водопроводната мрежа на гр. Вълчи дол, обл. Варна, съдържащ следните подобекти: 1 - 2 ETAП Водопровод и канализация по ул. "Алеко Константинов" / о.т. 215-о.т. 9204 - о.т. 175/ - 364 658,93 лв.; 1 - 3 ЕТАП Водопровод и канализация по ул. "Росица" /о.т. 149 - о.т. 65/ - 216 681,56 лв.</v>
      </c>
      <c r="H95" s="34">
        <v>290821</v>
      </c>
      <c r="I95" s="29" t="str">
        <f>'[1]Списък към доклад'!I165</f>
        <v>ВиК</v>
      </c>
      <c r="J95" s="54" t="s">
        <v>23</v>
      </c>
      <c r="K95" s="10" t="s">
        <v>312</v>
      </c>
      <c r="L95" s="55" t="s">
        <v>112</v>
      </c>
      <c r="M95" s="55" t="s">
        <v>212</v>
      </c>
      <c r="N95" s="30">
        <v>0</v>
      </c>
      <c r="O95" s="30">
        <v>0</v>
      </c>
      <c r="P95" s="30">
        <f t="shared" si="3"/>
        <v>290821</v>
      </c>
      <c r="Q95" s="29" t="s">
        <v>286</v>
      </c>
      <c r="R95" s="10" t="s">
        <v>274</v>
      </c>
      <c r="S95" s="44">
        <f t="shared" si="4"/>
        <v>0</v>
      </c>
      <c r="T95" s="10"/>
      <c r="U95" s="10" t="s">
        <v>357</v>
      </c>
      <c r="V95" s="10" t="s">
        <v>357</v>
      </c>
      <c r="W95" s="10" t="s">
        <v>357</v>
      </c>
      <c r="X95" s="10" t="s">
        <v>357</v>
      </c>
      <c r="Y95" s="19">
        <v>0</v>
      </c>
      <c r="Z95" s="9" t="s">
        <v>433</v>
      </c>
    </row>
    <row r="96" spans="2:26" ht="46.5" customHeight="1" x14ac:dyDescent="0.25">
      <c r="B96" s="29">
        <f t="shared" si="5"/>
        <v>88</v>
      </c>
      <c r="C96" s="29">
        <f>'[1]Списък към доклад'!C180</f>
        <v>33</v>
      </c>
      <c r="D96" s="29">
        <f>'[1]Списък към доклад'!D180</f>
        <v>5310</v>
      </c>
      <c r="E96" s="46" t="str">
        <f>'[1]Списък към доклад'!E180</f>
        <v>Дългопол</v>
      </c>
      <c r="F96" s="47" t="str">
        <f>'[1]Списък към доклад'!F180</f>
        <v>Варна</v>
      </c>
      <c r="G96" s="43" t="str">
        <f>'[1]Списък към доклад'!G180</f>
        <v>Изграждане на захранващ водопровод по ул. Антон Иванов и ул. Хр. Ботев в гр. Дългопол</v>
      </c>
      <c r="H96" s="34">
        <v>401724</v>
      </c>
      <c r="I96" s="29" t="str">
        <f>'[1]Списък към доклад'!I180</f>
        <v>ВиК</v>
      </c>
      <c r="J96" s="54" t="s">
        <v>38</v>
      </c>
      <c r="K96" s="10" t="s">
        <v>312</v>
      </c>
      <c r="L96" s="55" t="s">
        <v>112</v>
      </c>
      <c r="M96" s="55" t="s">
        <v>160</v>
      </c>
      <c r="N96" s="30">
        <f>854659.84+15000+10000</f>
        <v>879659.84</v>
      </c>
      <c r="O96" s="30">
        <f>3100+2000+155589.37+241032.53</f>
        <v>401721.9</v>
      </c>
      <c r="P96" s="30">
        <f t="shared" si="3"/>
        <v>2.0999999999767169</v>
      </c>
      <c r="Q96" s="29" t="s">
        <v>314</v>
      </c>
      <c r="R96" s="10" t="s">
        <v>274</v>
      </c>
      <c r="S96" s="44">
        <f t="shared" si="4"/>
        <v>0.99999477253039404</v>
      </c>
      <c r="T96" s="10"/>
      <c r="U96" s="10" t="s">
        <v>351</v>
      </c>
      <c r="V96" s="10" t="s">
        <v>352</v>
      </c>
      <c r="W96" s="10" t="s">
        <v>351</v>
      </c>
      <c r="X96" s="10" t="s">
        <v>357</v>
      </c>
      <c r="Y96" s="14">
        <v>401724</v>
      </c>
      <c r="Z96" s="6" t="s">
        <v>429</v>
      </c>
    </row>
    <row r="97" spans="2:26" s="3" customFormat="1" ht="63.75" customHeight="1" x14ac:dyDescent="0.25">
      <c r="B97" s="29">
        <f t="shared" si="5"/>
        <v>89</v>
      </c>
      <c r="C97" s="29">
        <f>'[1]Списък към доклад'!C152</f>
        <v>5</v>
      </c>
      <c r="D97" s="29">
        <f>'[1]Списък към доклад'!D152</f>
        <v>6302</v>
      </c>
      <c r="E97" s="46" t="str">
        <f>'[1]Списък към доклад'!E152</f>
        <v>Белово</v>
      </c>
      <c r="F97" s="47" t="str">
        <f>'[1]Списък към доклад'!F152</f>
        <v>Пазарджик</v>
      </c>
      <c r="G97" s="48" t="str">
        <f>'[1]Списък към доклад'!G152</f>
        <v>Реконструкция и рехабилитация на вътрешна водопроводна мрежа в гр. Белово, община Белово, област Пазарджик</v>
      </c>
      <c r="H97" s="34">
        <v>1640691</v>
      </c>
      <c r="I97" s="29" t="str">
        <f>'[1]Списък към доклад'!I152</f>
        <v>ВиК</v>
      </c>
      <c r="J97" s="54" t="s">
        <v>10</v>
      </c>
      <c r="K97" s="10" t="s">
        <v>312</v>
      </c>
      <c r="L97" s="55" t="s">
        <v>112</v>
      </c>
      <c r="M97" s="55" t="s">
        <v>161</v>
      </c>
      <c r="N97" s="30">
        <f>31580+63500+3181783.44</f>
        <v>3276863.44</v>
      </c>
      <c r="O97" s="34">
        <v>1640691</v>
      </c>
      <c r="P97" s="30">
        <f t="shared" si="3"/>
        <v>0</v>
      </c>
      <c r="Q97" s="29" t="s">
        <v>281</v>
      </c>
      <c r="R97" s="10" t="s">
        <v>274</v>
      </c>
      <c r="S97" s="44">
        <f t="shared" si="4"/>
        <v>1</v>
      </c>
      <c r="T97" s="10"/>
      <c r="U97" s="10" t="s">
        <v>351</v>
      </c>
      <c r="V97" s="10" t="s">
        <v>352</v>
      </c>
      <c r="W97" s="10" t="s">
        <v>351</v>
      </c>
      <c r="X97" s="10" t="s">
        <v>357</v>
      </c>
      <c r="Y97" s="19">
        <f>N97-H97</f>
        <v>1636172.44</v>
      </c>
      <c r="Z97" s="9" t="s">
        <v>428</v>
      </c>
    </row>
    <row r="98" spans="2:26" ht="51.75" customHeight="1" x14ac:dyDescent="0.25">
      <c r="B98" s="29">
        <f t="shared" si="5"/>
        <v>90</v>
      </c>
      <c r="C98" s="29">
        <f>'[1]Списък към доклад'!C199</f>
        <v>52</v>
      </c>
      <c r="D98" s="29">
        <f>'[1]Списък към доклад'!D199</f>
        <v>6305</v>
      </c>
      <c r="E98" s="46" t="str">
        <f>'[1]Списък към доклад'!E199</f>
        <v>Лесичево</v>
      </c>
      <c r="F98" s="47" t="str">
        <f>'[1]Списък към доклад'!F199</f>
        <v>Пазарджик</v>
      </c>
      <c r="G98" s="43" t="str">
        <f>'[1]Списък към доклад'!G199</f>
        <v>"Доизграждане на вътрешната водопроводна мрежа на с. Лесичово, общ.Лесичово“</v>
      </c>
      <c r="H98" s="34">
        <v>1164380</v>
      </c>
      <c r="I98" s="29" t="str">
        <f>'[1]Списък към доклад'!I199</f>
        <v>ВиК</v>
      </c>
      <c r="J98" s="54" t="s">
        <v>56</v>
      </c>
      <c r="K98" s="10" t="s">
        <v>312</v>
      </c>
      <c r="L98" s="55" t="s">
        <v>112</v>
      </c>
      <c r="M98" s="55" t="s">
        <v>162</v>
      </c>
      <c r="N98" s="30">
        <f>2244952.24+14950+416</f>
        <v>2260318.2400000002</v>
      </c>
      <c r="O98" s="30">
        <v>937328.71</v>
      </c>
      <c r="P98" s="30">
        <f t="shared" si="3"/>
        <v>227051.29000000004</v>
      </c>
      <c r="Q98" s="29" t="s">
        <v>260</v>
      </c>
      <c r="R98" s="10" t="s">
        <v>274</v>
      </c>
      <c r="S98" s="44">
        <f t="shared" si="4"/>
        <v>0.80500241330149946</v>
      </c>
      <c r="T98" s="10"/>
      <c r="U98" s="10" t="s">
        <v>351</v>
      </c>
      <c r="V98" s="10" t="s">
        <v>352</v>
      </c>
      <c r="W98" s="10" t="s">
        <v>351</v>
      </c>
      <c r="X98" s="10" t="s">
        <v>357</v>
      </c>
      <c r="Y98" s="19">
        <f>N98-H98</f>
        <v>1095938.2400000002</v>
      </c>
      <c r="Z98" s="9" t="s">
        <v>431</v>
      </c>
    </row>
    <row r="99" spans="2:26" ht="49.5" customHeight="1" x14ac:dyDescent="0.25">
      <c r="B99" s="29">
        <f t="shared" si="5"/>
        <v>91</v>
      </c>
      <c r="C99" s="29">
        <f>'[1]Списък към доклад'!C227</f>
        <v>80</v>
      </c>
      <c r="D99" s="29">
        <f>'[1]Списък към доклад'!D227</f>
        <v>7318</v>
      </c>
      <c r="E99" s="46" t="str">
        <f>'[1]Списък към доклад'!E227</f>
        <v>Самоков</v>
      </c>
      <c r="F99" s="47" t="str">
        <f>'[1]Списък към доклад'!F227</f>
        <v>София област</v>
      </c>
      <c r="G99" s="43" t="str">
        <f>'[1]Списък към доклад'!G227</f>
        <v>Реконструкция на вътрешна водопроводна мрежа на с.Продановци. Община Самоков</v>
      </c>
      <c r="H99" s="34">
        <v>593138</v>
      </c>
      <c r="I99" s="29" t="str">
        <f>'[1]Списък към доклад'!I227</f>
        <v>ВиК</v>
      </c>
      <c r="J99" s="54" t="s">
        <v>84</v>
      </c>
      <c r="K99" s="10" t="s">
        <v>308</v>
      </c>
      <c r="L99" s="55" t="s">
        <v>112</v>
      </c>
      <c r="M99" s="55" t="s">
        <v>189</v>
      </c>
      <c r="N99" s="30">
        <f>24200+1373363.23+6000</f>
        <v>1403563.23</v>
      </c>
      <c r="O99" s="30">
        <f>200179.8+269584.16</f>
        <v>469763.95999999996</v>
      </c>
      <c r="P99" s="30">
        <f t="shared" si="3"/>
        <v>123374.04000000004</v>
      </c>
      <c r="Q99" s="29"/>
      <c r="R99" s="27" t="s">
        <v>272</v>
      </c>
      <c r="S99" s="44">
        <f t="shared" si="4"/>
        <v>0.79199774757307739</v>
      </c>
      <c r="T99" s="10" t="s">
        <v>393</v>
      </c>
      <c r="U99" s="10" t="s">
        <v>351</v>
      </c>
      <c r="V99" s="10" t="s">
        <v>352</v>
      </c>
      <c r="W99" s="10" t="s">
        <v>351</v>
      </c>
      <c r="X99" s="10" t="s">
        <v>357</v>
      </c>
      <c r="Y99" s="28">
        <v>593138</v>
      </c>
      <c r="Z99" s="9" t="s">
        <v>467</v>
      </c>
    </row>
    <row r="100" spans="2:26" ht="156" customHeight="1" x14ac:dyDescent="0.25">
      <c r="B100" s="29">
        <f t="shared" si="5"/>
        <v>92</v>
      </c>
      <c r="C100" s="29">
        <f>'[1]Списък към доклад'!C230</f>
        <v>83</v>
      </c>
      <c r="D100" s="29">
        <f>'[1]Списък към доклад'!D230</f>
        <v>7319</v>
      </c>
      <c r="E100" s="46" t="str">
        <f>'[1]Списък към доклад'!E230</f>
        <v>Своге</v>
      </c>
      <c r="F100" s="47" t="str">
        <f>'[1]Списък към доклад'!F230</f>
        <v>София област</v>
      </c>
      <c r="G100" s="43" t="str">
        <f>'[1]Списък към доклад'!G230</f>
        <v>1.Изграждане и рехабилитация на канализационната и водоснабдителната мрежа на град Своге": Първи етап : Рехабилитация на водоснабдителната
мрежа на централна градска част на град Своге. "Изграждане и рехабилитация на канализационната мрежа на централна градска част на град Своге" и „Основен ремонт пътна настилка на централна градска част на град Своге". - част ВиК</v>
      </c>
      <c r="H100" s="34">
        <v>3786163</v>
      </c>
      <c r="I100" s="29" t="str">
        <f>'[1]Списък към доклад'!I230</f>
        <v>ВиК</v>
      </c>
      <c r="J100" s="54" t="s">
        <v>87</v>
      </c>
      <c r="K100" s="10" t="s">
        <v>308</v>
      </c>
      <c r="L100" s="55" t="s">
        <v>112</v>
      </c>
      <c r="M100" s="55" t="s">
        <v>138</v>
      </c>
      <c r="N100" s="30">
        <v>0</v>
      </c>
      <c r="O100" s="30">
        <v>0</v>
      </c>
      <c r="P100" s="30">
        <f t="shared" si="3"/>
        <v>3786163</v>
      </c>
      <c r="Q100" s="29"/>
      <c r="R100" s="27" t="s">
        <v>272</v>
      </c>
      <c r="S100" s="44">
        <f t="shared" si="4"/>
        <v>0</v>
      </c>
      <c r="T100" s="10" t="s">
        <v>468</v>
      </c>
      <c r="U100" s="10" t="s">
        <v>419</v>
      </c>
      <c r="V100" s="27" t="s">
        <v>357</v>
      </c>
      <c r="W100" s="27" t="s">
        <v>357</v>
      </c>
      <c r="X100" s="27" t="s">
        <v>357</v>
      </c>
      <c r="Y100" s="19">
        <v>0</v>
      </c>
      <c r="Z100" s="9" t="s">
        <v>469</v>
      </c>
    </row>
    <row r="101" spans="2:26" ht="210" customHeight="1" x14ac:dyDescent="0.25">
      <c r="B101" s="29">
        <f t="shared" si="5"/>
        <v>93</v>
      </c>
      <c r="C101" s="29">
        <f>'[1]Списък към доклад'!C234</f>
        <v>87</v>
      </c>
      <c r="D101" s="29">
        <f>'[1]Списък към доклад'!D234</f>
        <v>7320</v>
      </c>
      <c r="E101" s="46" t="str">
        <f>'[1]Списък към доклад'!E234</f>
        <v>Сливница</v>
      </c>
      <c r="F101" s="47" t="str">
        <f>'[1]Списък към доклад'!F234</f>
        <v>София област</v>
      </c>
      <c r="G101" s="43" t="str">
        <f>'[1]Списък към доклад'!G234</f>
        <v xml:space="preserve"> “Реконструкция на част от съществуващата водоснабдителна система и съоръжения на град Сливница, община Сливница - подмяна на водопроводна мрежа по улици "Цар Симеон Велики" и ул."Неделище", разположени между бул." 1300 години България и ул."Генерал Гурко", така също улици "Генерал Гурко", "Панайот Хитов"; "Атанас Узунов"; "Панайот Волов"; "Тодор Г. Влайков", разположени между улици" Цар Симон Велики" и улица " Неделище", улиците "Васил Петлешков" и "Мир" разположени между ул." Цар Симон Велики", и ул." Хан Аспарух". и улица без изход "Ален Мак" с вход от улица" Цар Симеон Велики" - част ВиК
</v>
      </c>
      <c r="H101" s="34">
        <v>307228</v>
      </c>
      <c r="I101" s="29" t="str">
        <f>'[1]Списък към доклад'!I234</f>
        <v>ВиК</v>
      </c>
      <c r="J101" s="54" t="s">
        <v>91</v>
      </c>
      <c r="K101" s="10" t="s">
        <v>308</v>
      </c>
      <c r="L101" s="55" t="s">
        <v>112</v>
      </c>
      <c r="M101" s="55" t="s">
        <v>201</v>
      </c>
      <c r="N101" s="30">
        <f>1396681.9+18900+3016.67</f>
        <v>1418598.5699999998</v>
      </c>
      <c r="O101" s="30">
        <v>0</v>
      </c>
      <c r="P101" s="30">
        <f t="shared" si="3"/>
        <v>307228</v>
      </c>
      <c r="Q101" s="29"/>
      <c r="R101" s="27" t="s">
        <v>272</v>
      </c>
      <c r="S101" s="44">
        <f t="shared" si="4"/>
        <v>0</v>
      </c>
      <c r="T101" s="10" t="s">
        <v>470</v>
      </c>
      <c r="U101" s="10" t="s">
        <v>351</v>
      </c>
      <c r="V101" s="10" t="s">
        <v>352</v>
      </c>
      <c r="W101" s="10" t="s">
        <v>351</v>
      </c>
      <c r="X101" s="10" t="s">
        <v>357</v>
      </c>
      <c r="Y101" s="19">
        <v>0</v>
      </c>
      <c r="Z101" s="9" t="s">
        <v>471</v>
      </c>
    </row>
    <row r="102" spans="2:26" ht="49.5" customHeight="1" x14ac:dyDescent="0.25">
      <c r="B102" s="29">
        <f t="shared" si="5"/>
        <v>94</v>
      </c>
      <c r="C102" s="29">
        <f>'[1]Списък към доклад'!C247</f>
        <v>100</v>
      </c>
      <c r="D102" s="29">
        <f>'[1]Списък към доклад'!D247</f>
        <v>7322</v>
      </c>
      <c r="E102" s="46" t="str">
        <f>'[1]Списък към доклад'!E247</f>
        <v>Челопеч</v>
      </c>
      <c r="F102" s="47" t="str">
        <f>'[1]Списък към доклад'!F247</f>
        <v>София област</v>
      </c>
      <c r="G102" s="43" t="str">
        <f>'[1]Списък към доклад'!G247</f>
        <v>Изграждане на довеждащи водопроводи и ремонт на водохващания в с. Челопеч</v>
      </c>
      <c r="H102" s="34">
        <v>2061110</v>
      </c>
      <c r="I102" s="29" t="str">
        <f>'[1]Списък към доклад'!I247</f>
        <v>ВиК</v>
      </c>
      <c r="J102" s="54" t="s">
        <v>104</v>
      </c>
      <c r="K102" s="10" t="s">
        <v>308</v>
      </c>
      <c r="L102" s="55" t="s">
        <v>112</v>
      </c>
      <c r="M102" s="55" t="s">
        <v>186</v>
      </c>
      <c r="N102" s="30">
        <v>0</v>
      </c>
      <c r="O102" s="30">
        <v>0</v>
      </c>
      <c r="P102" s="30">
        <f t="shared" si="3"/>
        <v>2061110</v>
      </c>
      <c r="Q102" s="29" t="s">
        <v>328</v>
      </c>
      <c r="R102" s="27" t="s">
        <v>272</v>
      </c>
      <c r="S102" s="44">
        <f t="shared" si="4"/>
        <v>0</v>
      </c>
      <c r="T102" s="10" t="s">
        <v>381</v>
      </c>
      <c r="U102" s="32" t="s">
        <v>540</v>
      </c>
      <c r="V102" s="10" t="s">
        <v>382</v>
      </c>
      <c r="W102" s="10" t="s">
        <v>357</v>
      </c>
      <c r="X102" s="10" t="s">
        <v>357</v>
      </c>
      <c r="Y102" s="19">
        <v>0</v>
      </c>
      <c r="Z102" s="6" t="s">
        <v>339</v>
      </c>
    </row>
    <row r="103" spans="2:26" ht="57.75" customHeight="1" x14ac:dyDescent="0.25">
      <c r="B103" s="29">
        <f t="shared" si="5"/>
        <v>95</v>
      </c>
      <c r="C103" s="29">
        <f>'[1]Списък към доклад'!C168</f>
        <v>21</v>
      </c>
      <c r="D103" s="29">
        <f>'[1]Списък към доклад'!D168</f>
        <v>5701</v>
      </c>
      <c r="E103" s="46" t="str">
        <f>'[1]Списък към доклад'!E168</f>
        <v>Габрово</v>
      </c>
      <c r="F103" s="47" t="str">
        <f>'[1]Списък към доклад'!F168</f>
        <v>Габрово</v>
      </c>
      <c r="G103" s="43" t="str">
        <f>'[1]Списък към доклад'!G168</f>
        <v>Реконструкция на водопровод и канализация по ул. „Златна нива“ и ул. „Зелена ливада“</v>
      </c>
      <c r="H103" s="34">
        <v>144584</v>
      </c>
      <c r="I103" s="29" t="str">
        <f>'[1]Списък към доклад'!I168</f>
        <v>ВиК</v>
      </c>
      <c r="J103" s="54" t="s">
        <v>26</v>
      </c>
      <c r="K103" s="10" t="s">
        <v>313</v>
      </c>
      <c r="L103" s="55" t="s">
        <v>112</v>
      </c>
      <c r="M103" s="55" t="s">
        <v>187</v>
      </c>
      <c r="N103" s="30">
        <f>1500+3000+251571.17</f>
        <v>256071.17</v>
      </c>
      <c r="O103" s="30">
        <f>47918.32</f>
        <v>47918.32</v>
      </c>
      <c r="P103" s="30">
        <f t="shared" si="3"/>
        <v>96665.68</v>
      </c>
      <c r="Q103" s="29" t="s">
        <v>282</v>
      </c>
      <c r="R103" s="10" t="s">
        <v>274</v>
      </c>
      <c r="S103" s="44">
        <f t="shared" si="4"/>
        <v>0.33142201073424443</v>
      </c>
      <c r="T103" s="10" t="s">
        <v>376</v>
      </c>
      <c r="U103" s="10" t="s">
        <v>351</v>
      </c>
      <c r="V103" s="10" t="s">
        <v>352</v>
      </c>
      <c r="W103" s="10" t="s">
        <v>351</v>
      </c>
      <c r="X103" s="10" t="s">
        <v>357</v>
      </c>
      <c r="Y103" s="19">
        <v>111487</v>
      </c>
      <c r="Z103" s="8" t="s">
        <v>283</v>
      </c>
    </row>
    <row r="104" spans="2:26" ht="111" customHeight="1" x14ac:dyDescent="0.25">
      <c r="B104" s="29">
        <f t="shared" si="5"/>
        <v>96</v>
      </c>
      <c r="C104" s="29">
        <f>'[1]Списък към доклад'!C231</f>
        <v>84</v>
      </c>
      <c r="D104" s="29">
        <f>'[1]Списък към доклад'!D231</f>
        <v>5703</v>
      </c>
      <c r="E104" s="46" t="str">
        <f>'[1]Списък към доклад'!E231</f>
        <v>Севлиево</v>
      </c>
      <c r="F104" s="47" t="str">
        <f>'[1]Списък към доклад'!F231</f>
        <v>Габрово</v>
      </c>
      <c r="G104" s="43" t="str">
        <f>'[1]Списък към доклад'!G231</f>
        <v>Реконструкция на довеждащ водопровод до ПСПВ "Стоките" и Източен водопроводен клон за питейна вода Участък: Източен водопровод, колн ПСПВ "Стоките" до р.ш. при с. Буря - с. Добромирка -етап 2, участък № 1 водопровод от т. 570 до т. 700 с L1=4205,35 м.</v>
      </c>
      <c r="H104" s="34">
        <v>1275417</v>
      </c>
      <c r="I104" s="29" t="str">
        <f>'[1]Списък към доклад'!I231</f>
        <v>ВиК</v>
      </c>
      <c r="J104" s="54" t="s">
        <v>88</v>
      </c>
      <c r="K104" s="10" t="s">
        <v>313</v>
      </c>
      <c r="L104" s="55" t="s">
        <v>112</v>
      </c>
      <c r="M104" s="55" t="s">
        <v>188</v>
      </c>
      <c r="N104" s="30">
        <v>0</v>
      </c>
      <c r="O104" s="30">
        <v>0</v>
      </c>
      <c r="P104" s="30">
        <f t="shared" si="3"/>
        <v>1275417</v>
      </c>
      <c r="Q104" s="29" t="s">
        <v>280</v>
      </c>
      <c r="R104" s="10" t="s">
        <v>274</v>
      </c>
      <c r="S104" s="44">
        <f t="shared" si="4"/>
        <v>0</v>
      </c>
      <c r="T104" s="10" t="s">
        <v>374</v>
      </c>
      <c r="U104" s="10" t="s">
        <v>373</v>
      </c>
      <c r="V104" s="49" t="s">
        <v>357</v>
      </c>
      <c r="W104" s="10" t="s">
        <v>357</v>
      </c>
      <c r="X104" s="10" t="s">
        <v>357</v>
      </c>
      <c r="Y104" s="19">
        <v>0</v>
      </c>
      <c r="Z104" s="9" t="s">
        <v>375</v>
      </c>
    </row>
    <row r="105" spans="2:26" ht="75" x14ac:dyDescent="0.25">
      <c r="B105" s="29">
        <f t="shared" si="5"/>
        <v>97</v>
      </c>
      <c r="C105" s="29">
        <f>'[1]Списък към доклад'!C197</f>
        <v>50</v>
      </c>
      <c r="D105" s="29">
        <f>'[1]Списък към доклад'!D197</f>
        <v>5905</v>
      </c>
      <c r="E105" s="46" t="str">
        <f>'[1]Списък към доклад'!E197</f>
        <v xml:space="preserve">Кърджали </v>
      </c>
      <c r="F105" s="47" t="str">
        <f>'[1]Списък към доклад'!F197</f>
        <v>Кърджали</v>
      </c>
      <c r="G105" s="43" t="str">
        <f>'[1]Списък към доклад'!G197</f>
        <v>„Хранителен (довеждащ) водопровод и вътрешна водопроводна мрежа за с. Черна скала” община Кърджали</v>
      </c>
      <c r="H105" s="34">
        <v>405248</v>
      </c>
      <c r="I105" s="29" t="str">
        <f>'[1]Списък към доклад'!I197</f>
        <v>ВиК</v>
      </c>
      <c r="J105" s="54" t="s">
        <v>54</v>
      </c>
      <c r="K105" s="10" t="s">
        <v>313</v>
      </c>
      <c r="L105" s="55" t="s">
        <v>112</v>
      </c>
      <c r="M105" s="55" t="s">
        <v>202</v>
      </c>
      <c r="N105" s="30">
        <f>8000+810495.51+28900</f>
        <v>847395.51</v>
      </c>
      <c r="O105" s="30">
        <f>243148.65+14450+4000</f>
        <v>261598.65</v>
      </c>
      <c r="P105" s="30">
        <f t="shared" si="3"/>
        <v>143649.35</v>
      </c>
      <c r="Q105" s="29" t="s">
        <v>256</v>
      </c>
      <c r="R105" s="10" t="s">
        <v>274</v>
      </c>
      <c r="S105" s="44">
        <f t="shared" si="4"/>
        <v>0.64552730673562853</v>
      </c>
      <c r="T105" s="10" t="s">
        <v>409</v>
      </c>
      <c r="U105" s="10" t="s">
        <v>351</v>
      </c>
      <c r="V105" s="10" t="s">
        <v>352</v>
      </c>
      <c r="W105" s="10" t="s">
        <v>351</v>
      </c>
      <c r="X105" s="10" t="s">
        <v>357</v>
      </c>
      <c r="Y105" s="28">
        <v>442147</v>
      </c>
      <c r="Z105" s="10" t="s">
        <v>410</v>
      </c>
    </row>
    <row r="106" spans="2:26" ht="44.25" customHeight="1" x14ac:dyDescent="0.25">
      <c r="B106" s="29">
        <f t="shared" si="5"/>
        <v>98</v>
      </c>
      <c r="C106" s="29">
        <f>'[1]Списък към доклад'!C214</f>
        <v>67</v>
      </c>
      <c r="D106" s="29">
        <f>'[1]Списък към доклад'!D214</f>
        <v>7502</v>
      </c>
      <c r="E106" s="46" t="str">
        <f>'[1]Списък към доклад'!E214</f>
        <v>Омуртаг</v>
      </c>
      <c r="F106" s="47" t="str">
        <f>'[1]Списък към доклад'!F214</f>
        <v>Търговище</v>
      </c>
      <c r="G106" s="43" t="str">
        <f>'[1]Списък към доклад'!G214</f>
        <v xml:space="preserve">Цялостна реконструкция на вътрешна водопроводна мрежа
</v>
      </c>
      <c r="H106" s="34">
        <v>1325150</v>
      </c>
      <c r="I106" s="29" t="str">
        <f>'[1]Списък към доклад'!I214</f>
        <v>ВиК</v>
      </c>
      <c r="J106" s="54" t="s">
        <v>71</v>
      </c>
      <c r="K106" s="10" t="s">
        <v>313</v>
      </c>
      <c r="L106" s="55" t="s">
        <v>112</v>
      </c>
      <c r="M106" s="55" t="s">
        <v>203</v>
      </c>
      <c r="N106" s="30">
        <f>29900+2573539.67+46860</f>
        <v>2650299.67</v>
      </c>
      <c r="O106" s="34">
        <v>1325150</v>
      </c>
      <c r="P106" s="30">
        <f t="shared" si="3"/>
        <v>0</v>
      </c>
      <c r="Q106" s="10" t="s">
        <v>294</v>
      </c>
      <c r="R106" s="10" t="s">
        <v>274</v>
      </c>
      <c r="S106" s="44">
        <f t="shared" si="4"/>
        <v>1</v>
      </c>
      <c r="T106" s="10" t="s">
        <v>413</v>
      </c>
      <c r="U106" s="10" t="s">
        <v>351</v>
      </c>
      <c r="V106" s="10" t="s">
        <v>352</v>
      </c>
      <c r="W106" s="10" t="s">
        <v>351</v>
      </c>
      <c r="X106" s="10" t="s">
        <v>357</v>
      </c>
      <c r="Y106" s="28">
        <v>1325149</v>
      </c>
      <c r="Z106" s="10" t="s">
        <v>414</v>
      </c>
    </row>
    <row r="107" spans="2:26" ht="75" customHeight="1" x14ac:dyDescent="0.25">
      <c r="B107" s="29">
        <f t="shared" si="5"/>
        <v>99</v>
      </c>
      <c r="C107" s="29">
        <f>'[1]Списък към доклад'!C184</f>
        <v>37</v>
      </c>
      <c r="D107" s="29">
        <f>'[1]Списък към доклад'!D184</f>
        <v>7602</v>
      </c>
      <c r="E107" s="46" t="str">
        <f>'[1]Списък към доклад'!E184</f>
        <v>Ивайловград</v>
      </c>
      <c r="F107" s="47" t="str">
        <f>'[1]Списък към доклад'!F184</f>
        <v>Хасково</v>
      </c>
      <c r="G107" s="43" t="str">
        <f>'[1]Списък към доклад'!G184</f>
        <v>Реконструкция и подмяна на магистрален външен водопровод от изпускателна шахта № 1, находяща се в ПИ 32024.2.784 до водоем - 2000 куб. м., находящ се в ПИ 32024.66.583 гр. Ивайловград</v>
      </c>
      <c r="H107" s="34">
        <v>959986</v>
      </c>
      <c r="I107" s="29" t="str">
        <f>'[1]Списък към доклад'!I184</f>
        <v>ВиК</v>
      </c>
      <c r="J107" s="54" t="s">
        <v>42</v>
      </c>
      <c r="K107" s="10" t="s">
        <v>313</v>
      </c>
      <c r="L107" s="55" t="s">
        <v>112</v>
      </c>
      <c r="M107" s="55" t="s">
        <v>204</v>
      </c>
      <c r="N107" s="30">
        <v>1611299.44</v>
      </c>
      <c r="O107" s="30">
        <f>79998.82+559991.75+319770.68</f>
        <v>959761.25</v>
      </c>
      <c r="P107" s="30">
        <f t="shared" si="3"/>
        <v>224.75</v>
      </c>
      <c r="Q107" s="29" t="s">
        <v>321</v>
      </c>
      <c r="R107" s="10" t="s">
        <v>274</v>
      </c>
      <c r="S107" s="44">
        <f t="shared" si="4"/>
        <v>0.99976588200244587</v>
      </c>
      <c r="T107" s="10" t="s">
        <v>377</v>
      </c>
      <c r="U107" s="10" t="s">
        <v>351</v>
      </c>
      <c r="V107" s="10" t="s">
        <v>352</v>
      </c>
      <c r="W107" s="10" t="s">
        <v>351</v>
      </c>
      <c r="X107" s="10" t="s">
        <v>357</v>
      </c>
      <c r="Y107" s="28">
        <f>N107-H107</f>
        <v>651313.43999999994</v>
      </c>
      <c r="Z107" s="29" t="s">
        <v>322</v>
      </c>
    </row>
    <row r="108" spans="2:26" ht="75" x14ac:dyDescent="0.25">
      <c r="B108" s="29">
        <f t="shared" si="5"/>
        <v>100</v>
      </c>
      <c r="C108" s="29">
        <f>'[1]Списък към доклад'!C203</f>
        <v>56</v>
      </c>
      <c r="D108" s="29">
        <f>'[1]Списък към доклад'!D203</f>
        <v>8890</v>
      </c>
      <c r="E108" s="46" t="str">
        <f>'[1]Списък към доклад'!E203</f>
        <v>Любимец</v>
      </c>
      <c r="F108" s="47" t="str">
        <f>'[1]Списък към доклад'!F203</f>
        <v>Хасково</v>
      </c>
      <c r="G108" s="43" t="str">
        <f>'[1]Списък към доклад'!G203</f>
        <v>Доизграждане, реконструкция и рехабилитация на участъци от канализационната мрежа на гр. Любимец</v>
      </c>
      <c r="H108" s="34">
        <v>1830663</v>
      </c>
      <c r="I108" s="29" t="str">
        <f>'[1]Списък към доклад'!I203</f>
        <v>ВиК</v>
      </c>
      <c r="J108" s="54" t="s">
        <v>60</v>
      </c>
      <c r="K108" s="10" t="s">
        <v>313</v>
      </c>
      <c r="L108" s="55" t="s">
        <v>112</v>
      </c>
      <c r="M108" s="55" t="s">
        <v>163</v>
      </c>
      <c r="N108" s="30">
        <f>3014825.93+26277.96+10000</f>
        <v>3051103.89</v>
      </c>
      <c r="O108" s="30">
        <f>902500+7831.5+5000</f>
        <v>915331.5</v>
      </c>
      <c r="P108" s="30">
        <f t="shared" si="3"/>
        <v>915331.5</v>
      </c>
      <c r="Q108" s="29" t="s">
        <v>248</v>
      </c>
      <c r="R108" s="10" t="s">
        <v>274</v>
      </c>
      <c r="S108" s="44">
        <f t="shared" si="4"/>
        <v>0.5</v>
      </c>
      <c r="T108" s="10" t="s">
        <v>390</v>
      </c>
      <c r="U108" s="10" t="s">
        <v>351</v>
      </c>
      <c r="V108" s="10" t="s">
        <v>352</v>
      </c>
      <c r="W108" s="10" t="s">
        <v>351</v>
      </c>
      <c r="X108" s="10" t="s">
        <v>357</v>
      </c>
      <c r="Y108" s="28">
        <v>1220440</v>
      </c>
      <c r="Z108" s="10" t="s">
        <v>391</v>
      </c>
    </row>
    <row r="109" spans="2:26" ht="58.5" customHeight="1" x14ac:dyDescent="0.25">
      <c r="B109" s="29">
        <f t="shared" si="5"/>
        <v>101</v>
      </c>
      <c r="C109" s="29">
        <f>'[1]Списък към доклад'!C228</f>
        <v>81</v>
      </c>
      <c r="D109" s="29">
        <f>'[1]Списък към доклад'!D228</f>
        <v>7606</v>
      </c>
      <c r="E109" s="46" t="str">
        <f>'[1]Списък към доклад'!E228</f>
        <v>Свиленград</v>
      </c>
      <c r="F109" s="47" t="str">
        <f>'[1]Списък към доклад'!F228</f>
        <v>Хасково</v>
      </c>
      <c r="G109" s="43" t="str">
        <f>'[1]Списък към доклад'!G228</f>
        <v>Изграждане на ВиК мрежа в кв. 325, 326, кв.327, кв.328, кв.329, кв.330, кв.331 и кв.332 в гр. Свиленград</v>
      </c>
      <c r="H109" s="34">
        <v>660869</v>
      </c>
      <c r="I109" s="29" t="str">
        <f>'[1]Списък към доклад'!I228</f>
        <v>ВиК</v>
      </c>
      <c r="J109" s="54" t="s">
        <v>85</v>
      </c>
      <c r="K109" s="10" t="s">
        <v>313</v>
      </c>
      <c r="L109" s="55" t="s">
        <v>112</v>
      </c>
      <c r="M109" s="55" t="s">
        <v>198</v>
      </c>
      <c r="N109" s="30">
        <f>1101448.95+5000</f>
        <v>1106448.95</v>
      </c>
      <c r="O109" s="30">
        <f>202399.17+240908.33+124783.43</f>
        <v>568090.92999999993</v>
      </c>
      <c r="P109" s="30">
        <f t="shared" si="3"/>
        <v>92778.070000000065</v>
      </c>
      <c r="Q109" s="29" t="s">
        <v>231</v>
      </c>
      <c r="R109" s="10" t="s">
        <v>274</v>
      </c>
      <c r="S109" s="44">
        <f t="shared" si="4"/>
        <v>0.85961201085237759</v>
      </c>
      <c r="T109" s="10" t="s">
        <v>411</v>
      </c>
      <c r="U109" s="10" t="s">
        <v>351</v>
      </c>
      <c r="V109" s="10" t="s">
        <v>352</v>
      </c>
      <c r="W109" s="10" t="s">
        <v>351</v>
      </c>
      <c r="X109" s="10" t="s">
        <v>353</v>
      </c>
      <c r="Y109" s="28">
        <v>445579</v>
      </c>
      <c r="Z109" s="10" t="s">
        <v>412</v>
      </c>
    </row>
    <row r="110" spans="2:26" ht="75" x14ac:dyDescent="0.25">
      <c r="B110" s="29">
        <f t="shared" si="5"/>
        <v>102</v>
      </c>
      <c r="C110" s="29">
        <f>'[1]Списък към доклад'!C232</f>
        <v>85</v>
      </c>
      <c r="D110" s="29">
        <f>'[1]Списък към доклад'!D232</f>
        <v>7607</v>
      </c>
      <c r="E110" s="46" t="str">
        <f>'[1]Списък към доклад'!E232</f>
        <v>Симеоновград</v>
      </c>
      <c r="F110" s="47" t="str">
        <f>'[1]Списък към доклад'!F232</f>
        <v>Хасково</v>
      </c>
      <c r="G110" s="43" t="str">
        <f>'[1]Списък към доклад'!G232</f>
        <v>Подмяна на водопроводна мрежа по улици: "Драва", "Тутракан", "Генерал Столетов", "Отец Паисий", "Шейновска" и "Александър Стамболийски", в гр. Симеоновград</v>
      </c>
      <c r="H110" s="34">
        <v>323639</v>
      </c>
      <c r="I110" s="29" t="str">
        <f>'[1]Списък към доклад'!I232</f>
        <v>ВиК</v>
      </c>
      <c r="J110" s="54" t="s">
        <v>89</v>
      </c>
      <c r="K110" s="10" t="s">
        <v>313</v>
      </c>
      <c r="L110" s="55" t="s">
        <v>112</v>
      </c>
      <c r="M110" s="55" t="s">
        <v>199</v>
      </c>
      <c r="N110" s="30">
        <f>623877.32+2300+6000</f>
        <v>632177.31999999995</v>
      </c>
      <c r="O110" s="30">
        <f>187163.2</f>
        <v>187163.2</v>
      </c>
      <c r="P110" s="30">
        <f t="shared" si="3"/>
        <v>136475.79999999999</v>
      </c>
      <c r="Q110" s="29" t="s">
        <v>261</v>
      </c>
      <c r="R110" s="10" t="s">
        <v>274</v>
      </c>
      <c r="S110" s="44">
        <f t="shared" si="4"/>
        <v>0.57830854748655136</v>
      </c>
      <c r="T110" s="10" t="s">
        <v>392</v>
      </c>
      <c r="U110" s="10" t="s">
        <v>351</v>
      </c>
      <c r="V110" s="10" t="s">
        <v>352</v>
      </c>
      <c r="W110" s="10" t="s">
        <v>351</v>
      </c>
      <c r="X110" s="10" t="s">
        <v>357</v>
      </c>
      <c r="Y110" s="28">
        <f>N110-H110</f>
        <v>308538.31999999995</v>
      </c>
      <c r="Z110" s="10" t="s">
        <v>329</v>
      </c>
    </row>
    <row r="111" spans="2:26" ht="66" customHeight="1" x14ac:dyDescent="0.25">
      <c r="B111" s="29">
        <f t="shared" si="5"/>
        <v>103</v>
      </c>
      <c r="C111" s="29">
        <f>'[1]Списък към доклад'!C240</f>
        <v>93</v>
      </c>
      <c r="D111" s="29">
        <f>'[1]Списък към доклад'!D240</f>
        <v>7609</v>
      </c>
      <c r="E111" s="46" t="str">
        <f>'[1]Списък към доклад'!E240</f>
        <v>Тополовград</v>
      </c>
      <c r="F111" s="47" t="str">
        <f>'[1]Списък към доклад'!F240</f>
        <v>Хасково</v>
      </c>
      <c r="G111" s="43" t="str">
        <f>'[1]Списък към доклад'!G240</f>
        <v>„Реконструкция/рехабилитация на водопровод по улици „Миньорска“, „София“, „Варна“, „Бенковски“, „Пирин“ и „Родопи“ - гр. Тополовград“.</v>
      </c>
      <c r="H111" s="34">
        <v>926802</v>
      </c>
      <c r="I111" s="29" t="str">
        <f>'[1]Списък към доклад'!I240</f>
        <v>ВиК</v>
      </c>
      <c r="J111" s="54" t="s">
        <v>97</v>
      </c>
      <c r="K111" s="10" t="s">
        <v>303</v>
      </c>
      <c r="L111" s="55" t="s">
        <v>112</v>
      </c>
      <c r="M111" s="55" t="s">
        <v>164</v>
      </c>
      <c r="N111" s="30">
        <f>1764376.78+43500+28000</f>
        <v>1835876.78</v>
      </c>
      <c r="O111" s="30">
        <f>441094.2+21750+28000</f>
        <v>490844.2</v>
      </c>
      <c r="P111" s="30">
        <f t="shared" si="3"/>
        <v>435957.8</v>
      </c>
      <c r="Q111" s="29" t="s">
        <v>239</v>
      </c>
      <c r="R111" s="10" t="s">
        <v>274</v>
      </c>
      <c r="S111" s="44">
        <f t="shared" si="4"/>
        <v>0.52961063959723864</v>
      </c>
      <c r="T111" s="10" t="s">
        <v>522</v>
      </c>
      <c r="U111" s="10" t="s">
        <v>351</v>
      </c>
      <c r="V111" s="10" t="s">
        <v>352</v>
      </c>
      <c r="W111" s="10" t="s">
        <v>351</v>
      </c>
      <c r="X111" s="10" t="s">
        <v>357</v>
      </c>
      <c r="Y111" s="28">
        <f>N111-H111</f>
        <v>909074.78</v>
      </c>
      <c r="Z111" s="29" t="s">
        <v>422</v>
      </c>
    </row>
    <row r="112" spans="2:26" ht="60" customHeight="1" x14ac:dyDescent="0.25">
      <c r="B112" s="29">
        <f t="shared" si="5"/>
        <v>104</v>
      </c>
      <c r="C112" s="29">
        <f>'[1]Списък към доклад'!C243</f>
        <v>96</v>
      </c>
      <c r="D112" s="29">
        <f>'[1]Списък към доклад'!D243</f>
        <v>7610</v>
      </c>
      <c r="E112" s="46" t="str">
        <f>'[1]Списък към доклад'!E243</f>
        <v>Харманли</v>
      </c>
      <c r="F112" s="47" t="str">
        <f>'[1]Списък към доклад'!F243</f>
        <v>Хасково</v>
      </c>
      <c r="G112" s="43" t="str">
        <f>'[1]Списък към доклад'!G243</f>
        <v>Основен ремонт на съществуваща водопроводна мрежа и сградни отклонения по ул. "Балкан" от о.т. 494 до о.т.708 по ПУП на гр. Харманли</v>
      </c>
      <c r="H112" s="34">
        <v>93563</v>
      </c>
      <c r="I112" s="29" t="str">
        <f>'[1]Списък към доклад'!I243</f>
        <v>ВиК</v>
      </c>
      <c r="J112" s="54" t="s">
        <v>100</v>
      </c>
      <c r="K112" s="10" t="s">
        <v>303</v>
      </c>
      <c r="L112" s="55" t="s">
        <v>112</v>
      </c>
      <c r="M112" s="55" t="s">
        <v>165</v>
      </c>
      <c r="N112" s="30">
        <f>196000+11900</f>
        <v>207900</v>
      </c>
      <c r="O112" s="30">
        <v>93563</v>
      </c>
      <c r="P112" s="30">
        <f t="shared" si="3"/>
        <v>0</v>
      </c>
      <c r="Q112" s="29"/>
      <c r="R112" s="10" t="s">
        <v>274</v>
      </c>
      <c r="S112" s="44">
        <f t="shared" si="4"/>
        <v>1</v>
      </c>
      <c r="T112" s="10" t="s">
        <v>523</v>
      </c>
      <c r="U112" s="10" t="s">
        <v>351</v>
      </c>
      <c r="V112" s="10" t="s">
        <v>352</v>
      </c>
      <c r="W112" s="10" t="s">
        <v>351</v>
      </c>
      <c r="X112" s="10" t="s">
        <v>353</v>
      </c>
      <c r="Y112" s="28">
        <f>N112-H112</f>
        <v>114337</v>
      </c>
      <c r="Z112" s="10" t="s">
        <v>423</v>
      </c>
    </row>
    <row r="113" spans="2:26" ht="48.75" customHeight="1" x14ac:dyDescent="0.25">
      <c r="B113" s="29">
        <f t="shared" si="5"/>
        <v>105</v>
      </c>
      <c r="C113" s="29">
        <f>'[1]Списък към доклад'!C244</f>
        <v>97</v>
      </c>
      <c r="D113" s="29">
        <f>'[1]Списък към доклад'!D244</f>
        <v>7611</v>
      </c>
      <c r="E113" s="46" t="str">
        <f>'[1]Списък към доклад'!E244</f>
        <v>Хасково</v>
      </c>
      <c r="F113" s="47" t="str">
        <f>'[1]Списък към доклад'!F244</f>
        <v>Хасково</v>
      </c>
      <c r="G113" s="43" t="str">
        <f>'[1]Списък към доклад'!G244</f>
        <v>"Вътрешна водопроводна мрежа на с. Маслиново, община Хасково" - втори етап</v>
      </c>
      <c r="H113" s="34">
        <v>306704</v>
      </c>
      <c r="I113" s="29" t="str">
        <f>'[1]Списък към доклад'!I244</f>
        <v>ВиК</v>
      </c>
      <c r="J113" s="54" t="s">
        <v>101</v>
      </c>
      <c r="K113" s="10" t="s">
        <v>303</v>
      </c>
      <c r="L113" s="55" t="s">
        <v>112</v>
      </c>
      <c r="M113" s="55" t="s">
        <v>166</v>
      </c>
      <c r="N113" s="30">
        <f>892110.15+4800+3000</f>
        <v>899910.15</v>
      </c>
      <c r="O113" s="30">
        <v>306704</v>
      </c>
      <c r="P113" s="30">
        <f t="shared" si="3"/>
        <v>0</v>
      </c>
      <c r="Q113" s="29" t="s">
        <v>223</v>
      </c>
      <c r="R113" s="10" t="s">
        <v>274</v>
      </c>
      <c r="S113" s="44">
        <f t="shared" si="4"/>
        <v>1</v>
      </c>
      <c r="T113" s="10" t="s">
        <v>524</v>
      </c>
      <c r="U113" s="10" t="s">
        <v>351</v>
      </c>
      <c r="V113" s="10" t="s">
        <v>352</v>
      </c>
      <c r="W113" s="10" t="s">
        <v>351</v>
      </c>
      <c r="X113" s="10" t="s">
        <v>353</v>
      </c>
      <c r="Y113" s="28">
        <v>195440.58</v>
      </c>
      <c r="Z113" s="10" t="s">
        <v>525</v>
      </c>
    </row>
    <row r="114" spans="2:26" ht="15" x14ac:dyDescent="0.25">
      <c r="B114" s="59"/>
      <c r="C114" s="59"/>
      <c r="D114" s="59"/>
      <c r="E114" s="59"/>
      <c r="F114" s="59"/>
      <c r="G114" s="60" t="s">
        <v>110</v>
      </c>
      <c r="H114" s="61">
        <f>SUM(H9:H113)</f>
        <v>125537463</v>
      </c>
      <c r="I114" s="61" t="s">
        <v>297</v>
      </c>
      <c r="J114" s="61" t="s">
        <v>297</v>
      </c>
      <c r="K114" s="61" t="s">
        <v>297</v>
      </c>
      <c r="L114" s="61">
        <f t="shared" ref="L114:O114" si="6">SUM(L9:L113)</f>
        <v>0</v>
      </c>
      <c r="M114" s="61" t="s">
        <v>297</v>
      </c>
      <c r="N114" s="61">
        <f t="shared" si="6"/>
        <v>205103190.34999993</v>
      </c>
      <c r="O114" s="61">
        <f t="shared" si="6"/>
        <v>65748899.210000008</v>
      </c>
      <c r="P114" s="61" t="s">
        <v>297</v>
      </c>
      <c r="Q114" s="62" t="s">
        <v>297</v>
      </c>
      <c r="R114" s="63"/>
      <c r="S114" s="42">
        <f t="shared" si="4"/>
        <v>0.52373926984648411</v>
      </c>
      <c r="T114" s="63"/>
      <c r="U114" s="63"/>
      <c r="V114" s="63"/>
      <c r="W114" s="63"/>
      <c r="X114" s="63"/>
      <c r="Y114" s="12">
        <f t="shared" ref="Y114" si="7">SUM(Y9:Y113)</f>
        <v>87700714.419999972</v>
      </c>
      <c r="Z114" s="15"/>
    </row>
    <row r="115" spans="2:26" ht="15" x14ac:dyDescent="0.25">
      <c r="B115" s="59"/>
      <c r="C115" s="59"/>
      <c r="D115" s="59"/>
      <c r="E115" s="59"/>
      <c r="F115" s="59"/>
      <c r="G115" s="59"/>
      <c r="H115" s="64"/>
      <c r="I115" s="59"/>
      <c r="J115" s="59"/>
      <c r="K115" s="65"/>
      <c r="L115" s="66"/>
      <c r="M115" s="66"/>
      <c r="N115" s="67"/>
      <c r="O115" s="67"/>
      <c r="P115" s="67"/>
      <c r="Q115" s="63"/>
      <c r="R115" s="63"/>
      <c r="S115" s="63"/>
      <c r="T115" s="63"/>
      <c r="U115" s="63"/>
      <c r="V115" s="63"/>
      <c r="W115" s="63"/>
      <c r="X115" s="63"/>
      <c r="Y115" s="20"/>
      <c r="Z115" s="15"/>
    </row>
    <row r="116" spans="2:26" x14ac:dyDescent="0.25">
      <c r="N116" s="4"/>
      <c r="O116" s="4"/>
      <c r="P116" s="4"/>
      <c r="Q116" s="5"/>
      <c r="R116" s="5"/>
      <c r="S116" s="5"/>
      <c r="T116" s="5"/>
      <c r="U116" s="5"/>
      <c r="V116" s="5"/>
      <c r="W116" s="5"/>
      <c r="X116" s="5"/>
      <c r="Y116" s="21"/>
    </row>
    <row r="117" spans="2:26" x14ac:dyDescent="0.25">
      <c r="N117" s="4"/>
      <c r="Q117" s="5"/>
      <c r="R117" s="5"/>
      <c r="S117" s="5"/>
      <c r="T117" s="5"/>
      <c r="U117" s="5"/>
      <c r="V117" s="5"/>
      <c r="W117" s="5"/>
      <c r="X117" s="5"/>
      <c r="Y117" s="21"/>
    </row>
    <row r="118" spans="2:26" x14ac:dyDescent="0.25">
      <c r="N118" s="4"/>
      <c r="O118" s="4"/>
      <c r="Q118" s="5"/>
      <c r="R118" s="5"/>
      <c r="S118" s="5"/>
      <c r="T118" s="5"/>
      <c r="U118" s="5"/>
      <c r="V118" s="5"/>
      <c r="W118" s="5"/>
      <c r="X118" s="5"/>
      <c r="Y118" s="21"/>
    </row>
    <row r="119" spans="2:26" x14ac:dyDescent="0.25">
      <c r="Q119" s="5"/>
      <c r="R119" s="5"/>
      <c r="S119" s="5"/>
      <c r="T119" s="5"/>
      <c r="U119" s="5"/>
      <c r="V119" s="5"/>
      <c r="W119" s="5"/>
      <c r="X119" s="5"/>
      <c r="Y119" s="21"/>
    </row>
    <row r="120" spans="2:26" x14ac:dyDescent="0.25">
      <c r="O120" s="4"/>
      <c r="Q120" s="5"/>
      <c r="R120" s="5"/>
      <c r="S120" s="5"/>
      <c r="T120" s="5"/>
      <c r="U120" s="5"/>
      <c r="V120" s="5"/>
      <c r="W120" s="5"/>
      <c r="X120" s="5"/>
      <c r="Y120" s="21"/>
    </row>
    <row r="121" spans="2:26" x14ac:dyDescent="0.25">
      <c r="M121" s="2" t="s">
        <v>118</v>
      </c>
      <c r="Q121" s="5"/>
      <c r="R121" s="5"/>
      <c r="S121" s="5"/>
      <c r="T121" s="5"/>
      <c r="U121" s="5"/>
      <c r="V121" s="5"/>
      <c r="W121" s="5"/>
      <c r="X121" s="5"/>
      <c r="Y121" s="21"/>
    </row>
    <row r="122" spans="2:26" x14ac:dyDescent="0.25">
      <c r="Q122" s="5"/>
      <c r="R122" s="5"/>
      <c r="S122" s="5"/>
      <c r="T122" s="5"/>
      <c r="U122" s="5"/>
      <c r="V122" s="5"/>
      <c r="W122" s="5"/>
      <c r="X122" s="5"/>
      <c r="Y122" s="21"/>
    </row>
    <row r="123" spans="2:26" x14ac:dyDescent="0.25">
      <c r="Q123" s="5"/>
      <c r="R123" s="5"/>
      <c r="S123" s="5"/>
      <c r="T123" s="5"/>
      <c r="U123" s="5"/>
      <c r="V123" s="5"/>
      <c r="W123" s="5"/>
      <c r="X123" s="5"/>
      <c r="Y123" s="21"/>
    </row>
    <row r="124" spans="2:26" x14ac:dyDescent="0.25">
      <c r="Q124" s="5"/>
      <c r="R124" s="5"/>
      <c r="S124" s="5"/>
      <c r="T124" s="5"/>
      <c r="U124" s="5"/>
      <c r="V124" s="5"/>
      <c r="W124" s="5"/>
      <c r="X124" s="5"/>
      <c r="Y124" s="21"/>
    </row>
    <row r="125" spans="2:26" x14ac:dyDescent="0.25">
      <c r="Q125" s="5"/>
      <c r="R125" s="5"/>
      <c r="S125" s="5"/>
      <c r="T125" s="5"/>
      <c r="U125" s="5"/>
      <c r="V125" s="5"/>
      <c r="W125" s="5"/>
      <c r="X125" s="5"/>
      <c r="Y125" s="21"/>
    </row>
    <row r="126" spans="2:26" x14ac:dyDescent="0.25">
      <c r="Q126" s="5"/>
      <c r="R126" s="5"/>
      <c r="S126" s="5"/>
      <c r="T126" s="5"/>
      <c r="U126" s="5"/>
      <c r="V126" s="5"/>
      <c r="W126" s="5"/>
      <c r="X126" s="5"/>
      <c r="Y126" s="21"/>
    </row>
    <row r="127" spans="2:26" x14ac:dyDescent="0.25">
      <c r="Q127" s="5"/>
      <c r="R127" s="5"/>
      <c r="S127" s="5"/>
      <c r="T127" s="5"/>
      <c r="U127" s="5"/>
      <c r="V127" s="5"/>
      <c r="W127" s="5"/>
      <c r="X127" s="5"/>
      <c r="Y127" s="21"/>
    </row>
    <row r="128" spans="2:26" x14ac:dyDescent="0.25">
      <c r="Q128" s="5"/>
      <c r="R128" s="5"/>
      <c r="S128" s="5"/>
      <c r="T128" s="5"/>
      <c r="U128" s="5"/>
      <c r="V128" s="5"/>
      <c r="W128" s="5"/>
      <c r="X128" s="5"/>
      <c r="Y128" s="21"/>
    </row>
    <row r="129" spans="7:25" x14ac:dyDescent="0.25">
      <c r="Q129" s="5"/>
      <c r="R129" s="5"/>
      <c r="S129" s="5"/>
      <c r="T129" s="5"/>
      <c r="U129" s="5"/>
      <c r="V129" s="5"/>
      <c r="W129" s="5"/>
      <c r="X129" s="5"/>
      <c r="Y129" s="21"/>
    </row>
    <row r="130" spans="7:25" x14ac:dyDescent="0.25">
      <c r="Q130" s="5"/>
      <c r="R130" s="5"/>
      <c r="S130" s="5"/>
      <c r="T130" s="5"/>
      <c r="U130" s="5"/>
      <c r="V130" s="5"/>
      <c r="W130" s="5"/>
      <c r="X130" s="5"/>
      <c r="Y130" s="21"/>
    </row>
    <row r="131" spans="7:25" x14ac:dyDescent="0.25">
      <c r="Q131" s="5"/>
      <c r="R131" s="5"/>
      <c r="S131" s="5"/>
      <c r="T131" s="5"/>
      <c r="U131" s="5"/>
      <c r="V131" s="5"/>
      <c r="W131" s="5"/>
      <c r="X131" s="5"/>
      <c r="Y131" s="21"/>
    </row>
    <row r="132" spans="7:25" x14ac:dyDescent="0.25">
      <c r="Q132" s="5"/>
      <c r="R132" s="5"/>
      <c r="S132" s="5"/>
      <c r="T132" s="5"/>
      <c r="U132" s="5"/>
      <c r="V132" s="5"/>
      <c r="W132" s="5"/>
      <c r="X132" s="5"/>
      <c r="Y132" s="21"/>
    </row>
    <row r="133" spans="7:25" x14ac:dyDescent="0.25">
      <c r="Q133" s="5"/>
      <c r="R133" s="5"/>
      <c r="S133" s="5"/>
      <c r="T133" s="5"/>
      <c r="U133" s="5"/>
      <c r="V133" s="5"/>
      <c r="W133" s="5"/>
      <c r="X133" s="5"/>
      <c r="Y133" s="21"/>
    </row>
    <row r="137" spans="7:25" x14ac:dyDescent="0.25">
      <c r="G137" s="1"/>
    </row>
  </sheetData>
  <mergeCells count="2">
    <mergeCell ref="D2:Z2"/>
    <mergeCell ref="E3:Z4"/>
  </mergeCells>
  <hyperlinks>
    <hyperlink ref="J44" r:id="rId1"/>
    <hyperlink ref="J78" r:id="rId2"/>
    <hyperlink ref="J9" r:id="rId3"/>
    <hyperlink ref="J18" r:id="rId4"/>
    <hyperlink ref="J97" r:id="rId5"/>
    <hyperlink ref="J33" r:id="rId6"/>
    <hyperlink ref="J90" r:id="rId7"/>
    <hyperlink ref="J27" r:id="rId8"/>
    <hyperlink ref="J52" r:id="rId9"/>
    <hyperlink ref="J66" r:id="rId10" display="mailto:ob.borovan@borovan.egov.bg"/>
    <hyperlink ref="J53" r:id="rId11"/>
    <hyperlink ref="J67" r:id="rId12" display="mailto:bslatina@oabsl.bg"/>
    <hyperlink ref="J84" r:id="rId13"/>
    <hyperlink ref="J54" r:id="rId14"/>
    <hyperlink ref="J95" r:id="rId15" display="mailto:oba@valchidol.bg"/>
    <hyperlink ref="J29" r:id="rId16" display="mailto:obshtina@varbitsa.org"/>
    <hyperlink ref="J55" r:id="rId17"/>
    <hyperlink ref="J103" r:id="rId18"/>
    <hyperlink ref="J56" r:id="rId19"/>
    <hyperlink ref="J91" r:id="rId20" display="mailto:oba@gocenet.net"/>
    <hyperlink ref="J34" r:id="rId21"/>
    <hyperlink ref="J62" r:id="rId22" tooltip="Община Гурково" display="mailto:gurkovo_obs@abv.bg"/>
    <hyperlink ref="J39" r:id="rId23"/>
    <hyperlink ref="J19" r:id="rId24"/>
    <hyperlink ref="J20" r:id="rId25"/>
    <hyperlink ref="J74" r:id="rId26"/>
    <hyperlink ref="J75" r:id="rId27"/>
    <hyperlink ref="J46" r:id="rId28" display="mailto:obshtina_dragoman@abv.bg"/>
    <hyperlink ref="J96" r:id="rId29"/>
    <hyperlink ref="J85" r:id="rId30"/>
    <hyperlink ref="J107" r:id="rId31"/>
    <hyperlink ref="J60" r:id="rId32" display="mailto:obshtina_ihtiman@mail.bg"/>
    <hyperlink ref="J63" r:id="rId33"/>
    <hyperlink ref="J28" r:id="rId34"/>
    <hyperlink ref="J10" r:id="rId35"/>
    <hyperlink ref="J30" r:id="rId36"/>
    <hyperlink ref="J11" r:id="rId37"/>
    <hyperlink ref="J12" r:id="rId38"/>
    <hyperlink ref="J31" r:id="rId39"/>
    <hyperlink ref="J61" r:id="rId40" display="mailto:info@koprivshtitsa-bg.com"/>
    <hyperlink ref="J76" r:id="rId41"/>
    <hyperlink ref="J48" r:id="rId42"/>
    <hyperlink ref="J105" r:id="rId43"/>
    <hyperlink ref="J77" r:id="rId44"/>
    <hyperlink ref="J98" r:id="rId45"/>
    <hyperlink ref="J79" r:id="rId46"/>
    <hyperlink ref="J80" r:id="rId47"/>
    <hyperlink ref="J57" r:id="rId48"/>
    <hyperlink ref="J108" r:id="rId49"/>
    <hyperlink ref="J86" r:id="rId50"/>
    <hyperlink ref="J72" r:id="rId51" display="mailto:mt_kmet@mail.bg"/>
    <hyperlink ref="J13" r:id="rId52"/>
    <hyperlink ref="J58" r:id="rId53"/>
    <hyperlink ref="J69" r:id="rId54"/>
    <hyperlink ref="J68" r:id="rId55"/>
    <hyperlink ref="J49" r:id="rId56"/>
    <hyperlink ref="J64" r:id="rId57"/>
    <hyperlink ref="J73" r:id="rId58"/>
    <hyperlink ref="J35" r:id="rId59"/>
    <hyperlink ref="J106" r:id="rId60"/>
    <hyperlink ref="J65" r:id="rId61"/>
    <hyperlink ref="J70" r:id="rId62"/>
    <hyperlink ref="J87" r:id="rId63"/>
    <hyperlink ref="J24" r:id="rId64"/>
    <hyperlink ref="J50" r:id="rId65" display="mailto:obstina@pirdop.bg"/>
    <hyperlink ref="J25" r:id="rId66"/>
    <hyperlink ref="J26" r:id="rId67"/>
    <hyperlink ref="J92" r:id="rId68"/>
    <hyperlink ref="J14" r:id="rId69"/>
    <hyperlink ref="J41" r:id="rId70"/>
    <hyperlink ref="J15" r:id="rId71"/>
    <hyperlink ref="J99" r:id="rId72" display="obsh_sam@mail.bgmayor@samokov.bg"/>
    <hyperlink ref="J109" r:id="rId73"/>
    <hyperlink ref="J88" r:id="rId74"/>
    <hyperlink ref="J100" r:id="rId75" display="mailto:kmet@svoge.bg"/>
    <hyperlink ref="J104" r:id="rId76"/>
    <hyperlink ref="J110" r:id="rId77"/>
    <hyperlink ref="J36" r:id="rId78"/>
    <hyperlink ref="J101" r:id="rId79" display="mailto:slivnitsa@slivnitsa.bg"/>
    <hyperlink ref="J42" r:id="rId80"/>
    <hyperlink ref="J16" r:id="rId81"/>
    <hyperlink ref="J89" r:id="rId82"/>
    <hyperlink ref="J37" r:id="rId83"/>
    <hyperlink ref="J81" r:id="rId84"/>
    <hyperlink ref="J111" r:id="rId85"/>
    <hyperlink ref="J82" r:id="rId86"/>
    <hyperlink ref="J71" r:id="rId87" display="mailto:hayredin_ob@mail.bg"/>
    <hyperlink ref="J112" r:id="rId88"/>
    <hyperlink ref="J113" r:id="rId89"/>
    <hyperlink ref="J17" r:id="rId90"/>
    <hyperlink ref="J32" r:id="rId91"/>
    <hyperlink ref="J102" r:id="rId92"/>
    <hyperlink ref="J43" r:id="rId93"/>
    <hyperlink ref="J22" r:id="rId94"/>
    <hyperlink ref="J83" r:id="rId95"/>
    <hyperlink ref="J59" r:id="rId96" display="mailto:qkimovo@net-surf.net"/>
  </hyperlinks>
  <pageMargins left="0.19685039370078741" right="0.11811023622047245" top="0.19685039370078741" bottom="0.15748031496062992" header="0" footer="0.39370078740157483"/>
  <pageSetup paperSize="8" fitToHeight="0" orientation="landscape" r:id="rId97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Sheet1!_MailAutoSig</vt:lpstr>
      <vt:lpstr>Sheet1!OLE_LINK1</vt:lpstr>
      <vt:lpstr>Sheet1!OLE_LINK2</vt:lpstr>
      <vt:lpstr>Sheet1!Print_Area</vt:lpstr>
    </vt:vector>
  </TitlesOfParts>
  <Company>Ministry of Regional Development and Public 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</dc:creator>
  <cp:lastModifiedBy>OEM</cp:lastModifiedBy>
  <cp:lastPrinted>2023-07-07T11:07:27Z</cp:lastPrinted>
  <dcterms:created xsi:type="dcterms:W3CDTF">2022-10-04T10:31:00Z</dcterms:created>
  <dcterms:modified xsi:type="dcterms:W3CDTF">2023-07-20T08:38:49Z</dcterms:modified>
</cp:coreProperties>
</file>